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622SAM Satellite Lift Station R&amp;R 2020 Group 3 (890-66)\Working Docs\Solicitation Docs\"/>
    </mc:Choice>
  </mc:AlternateContent>
  <xr:revisionPtr revIDLastSave="0" documentId="13_ncr:1_{DBDFDA81-519E-4800-A992-172BA04C5A80}" xr6:coauthVersionLast="45" xr6:coauthVersionMax="45" xr10:uidLastSave="{00000000-0000-0000-0000-000000000000}"/>
  <bookViews>
    <workbookView xWindow="3750" yWindow="2685" windowWidth="21135" windowHeight="11385" tabRatio="882" firstSheet="1" activeTab="5" xr2:uid="{00000000-000D-0000-FFFF-FFFF00000000}"/>
  </bookViews>
  <sheets>
    <sheet name="OVERALL ESTIMATE" sheetId="30" state="hidden" r:id="rId1"/>
    <sheet name="New 301 Ind Park 344" sheetId="32" r:id="rId2"/>
    <sheet name="Lakewood Meadows 388" sheetId="26" r:id="rId3"/>
    <sheet name="Mote Ranch 3 398" sheetId="31" r:id="rId4"/>
    <sheet name="41A 454" sheetId="27" r:id="rId5"/>
    <sheet name="Arnold Palmer Green 1 689" sheetId="29" r:id="rId6"/>
  </sheets>
  <definedNames>
    <definedName name="_xlnm.Print_Area" localSheetId="4">'41A 454'!$B$1:$H$79</definedName>
    <definedName name="_xlnm.Print_Area" localSheetId="5">'Arnold Palmer Green 1 689'!$B$1:$H$101</definedName>
    <definedName name="_xlnm.Print_Area" localSheetId="2">'Lakewood Meadows 388'!$B$1:$H$79</definedName>
    <definedName name="_xlnm.Print_Area" localSheetId="3">'Mote Ranch 3 398'!$B$1:$H$79</definedName>
    <definedName name="_xlnm.Print_Area" localSheetId="1">'New 301 Ind Park 344'!$B$1:$H$79</definedName>
    <definedName name="_xlnm.Print_Area" localSheetId="0">'OVERALL ESTIMATE'!$B$4:$H$98</definedName>
    <definedName name="_xlnm.Print_Area">#REF!</definedName>
    <definedName name="_xlnm.Print_Titles" localSheetId="4">'41A 454'!$1:$8</definedName>
    <definedName name="_xlnm.Print_Titles" localSheetId="5">'Arnold Palmer Green 1 689'!$1:$8</definedName>
    <definedName name="_xlnm.Print_Titles" localSheetId="2">'Lakewood Meadows 388'!$1:$7</definedName>
    <definedName name="_xlnm.Print_Titles" localSheetId="3">'Mote Ranch 3 398'!$1:$8</definedName>
    <definedName name="_xlnm.Print_Titles" localSheetId="1">'New 301 Ind Park 344'!$1:$8</definedName>
    <definedName name="Second_Print_Area" localSheetId="3">#REF!</definedName>
    <definedName name="Second_Print_Area" localSheetId="1">#REF!</definedName>
    <definedName name="Second_Print_Area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27" l="1"/>
  <c r="H96" i="29" l="1"/>
  <c r="H95" i="29"/>
  <c r="H75" i="27"/>
  <c r="H74" i="27"/>
  <c r="H73" i="27"/>
  <c r="H72" i="27"/>
  <c r="H76" i="31"/>
  <c r="H75" i="31"/>
  <c r="H74" i="31"/>
  <c r="H73" i="31"/>
  <c r="H72" i="31"/>
  <c r="H73" i="26"/>
  <c r="H74" i="26"/>
  <c r="H11" i="26"/>
  <c r="H74" i="32"/>
  <c r="H73" i="32"/>
  <c r="H17" i="32"/>
  <c r="H9" i="32"/>
  <c r="H19" i="31"/>
  <c r="H20" i="31"/>
  <c r="H22" i="31"/>
  <c r="H24" i="31"/>
  <c r="H25" i="31"/>
  <c r="H27" i="31"/>
  <c r="H28" i="31"/>
  <c r="H29" i="31"/>
  <c r="H30" i="31"/>
  <c r="H31" i="31"/>
  <c r="H32" i="31"/>
  <c r="H34" i="31"/>
  <c r="H36" i="31"/>
  <c r="H37" i="31"/>
  <c r="H38" i="31"/>
  <c r="H39" i="31"/>
  <c r="H40" i="31"/>
  <c r="H41" i="31"/>
  <c r="H42" i="31"/>
  <c r="H43" i="31"/>
  <c r="H44" i="31"/>
  <c r="H45" i="31"/>
  <c r="H46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1" i="31"/>
  <c r="H62" i="31"/>
  <c r="H63" i="31"/>
  <c r="H65" i="31"/>
  <c r="H17" i="31"/>
  <c r="H10" i="31"/>
  <c r="H11" i="31"/>
  <c r="H12" i="31"/>
  <c r="H13" i="31"/>
  <c r="H9" i="31"/>
  <c r="F73" i="30" l="1"/>
  <c r="F74" i="30"/>
  <c r="F75" i="30"/>
  <c r="F76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72" i="30"/>
  <c r="F15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10" i="30"/>
  <c r="F11" i="30"/>
  <c r="F12" i="30"/>
  <c r="F13" i="30"/>
  <c r="F9" i="30"/>
  <c r="M46" i="30" l="1"/>
  <c r="L47" i="30"/>
  <c r="M47" i="30"/>
  <c r="M48" i="30"/>
  <c r="M49" i="30"/>
  <c r="M50" i="30"/>
  <c r="M56" i="30"/>
  <c r="L60" i="30"/>
  <c r="M60" i="30"/>
  <c r="J62" i="30"/>
  <c r="M62" i="30"/>
  <c r="M63" i="30"/>
  <c r="J64" i="30"/>
  <c r="K64" i="30"/>
  <c r="L64" i="30"/>
  <c r="N64" i="30"/>
  <c r="J65" i="30"/>
  <c r="K65" i="30"/>
  <c r="M65" i="30"/>
  <c r="N65" i="30"/>
  <c r="K66" i="30"/>
  <c r="L66" i="30"/>
  <c r="M66" i="30"/>
  <c r="K67" i="30"/>
  <c r="L67" i="30"/>
  <c r="M67" i="30"/>
  <c r="N67" i="30"/>
  <c r="J68" i="30"/>
  <c r="K68" i="30"/>
  <c r="L68" i="30"/>
  <c r="N68" i="30"/>
  <c r="J69" i="30"/>
  <c r="K69" i="30"/>
  <c r="L69" i="30"/>
  <c r="N69" i="30"/>
  <c r="J33" i="30" l="1"/>
  <c r="K33" i="30"/>
  <c r="L33" i="30"/>
  <c r="M33" i="30"/>
  <c r="N33" i="30"/>
  <c r="J34" i="30"/>
  <c r="M34" i="30"/>
  <c r="K35" i="30"/>
  <c r="L35" i="30"/>
  <c r="M35" i="30"/>
  <c r="N35" i="30"/>
  <c r="M36" i="30"/>
  <c r="J37" i="30"/>
  <c r="M37" i="30"/>
  <c r="K38" i="30"/>
  <c r="M38" i="30"/>
  <c r="H58" i="29" l="1"/>
  <c r="N58" i="30" s="1"/>
  <c r="H58" i="27"/>
  <c r="M58" i="30" s="1"/>
  <c r="L58" i="30"/>
  <c r="H58" i="26"/>
  <c r="K58" i="30" s="1"/>
  <c r="H58" i="32"/>
  <c r="J58" i="30" s="1"/>
  <c r="H58" i="30" l="1"/>
  <c r="J27" i="30"/>
  <c r="M27" i="30"/>
  <c r="M28" i="30"/>
  <c r="M29" i="30"/>
  <c r="M30" i="30"/>
  <c r="J31" i="30"/>
  <c r="M31" i="30"/>
  <c r="M32" i="30"/>
  <c r="J39" i="30"/>
  <c r="M39" i="30"/>
  <c r="M40" i="30"/>
  <c r="M41" i="30"/>
  <c r="J42" i="30"/>
  <c r="M42" i="30"/>
  <c r="M43" i="30"/>
  <c r="K15" i="30"/>
  <c r="L15" i="30"/>
  <c r="M15" i="30"/>
  <c r="J17" i="30"/>
  <c r="M17" i="30"/>
  <c r="K18" i="30"/>
  <c r="L18" i="30"/>
  <c r="M18" i="30"/>
  <c r="N18" i="30"/>
  <c r="H19" i="32"/>
  <c r="J19" i="30" s="1"/>
  <c r="M19" i="30"/>
  <c r="H20" i="32"/>
  <c r="J20" i="30" s="1"/>
  <c r="M20" i="30"/>
  <c r="H21" i="32"/>
  <c r="J21" i="30" s="1"/>
  <c r="K21" i="30"/>
  <c r="L21" i="30"/>
  <c r="M21" i="30"/>
  <c r="H23" i="32"/>
  <c r="J23" i="30" s="1"/>
  <c r="K23" i="30"/>
  <c r="L23" i="30"/>
  <c r="M23" i="30"/>
  <c r="N23" i="30"/>
  <c r="K24" i="30"/>
  <c r="J25" i="30"/>
  <c r="H26" i="32"/>
  <c r="J26" i="30" s="1"/>
  <c r="K26" i="30"/>
  <c r="L26" i="30"/>
  <c r="M26" i="30"/>
  <c r="N26" i="30"/>
  <c r="H28" i="32"/>
  <c r="J28" i="30" s="1"/>
  <c r="H29" i="32"/>
  <c r="J29" i="30" s="1"/>
  <c r="H35" i="32"/>
  <c r="J35" i="30" s="1"/>
  <c r="H36" i="32"/>
  <c r="J36" i="30" s="1"/>
  <c r="H38" i="32"/>
  <c r="J38" i="30" s="1"/>
  <c r="H40" i="32"/>
  <c r="J40" i="30" s="1"/>
  <c r="H41" i="32"/>
  <c r="J41" i="30" s="1"/>
  <c r="H43" i="32"/>
  <c r="J43" i="30" s="1"/>
  <c r="H44" i="32"/>
  <c r="J44" i="30" s="1"/>
  <c r="H45" i="32"/>
  <c r="J45" i="30" s="1"/>
  <c r="H47" i="32"/>
  <c r="J47" i="30" s="1"/>
  <c r="H48" i="32"/>
  <c r="J48" i="30" s="1"/>
  <c r="H49" i="32"/>
  <c r="J49" i="30" s="1"/>
  <c r="H50" i="32"/>
  <c r="J50" i="30" s="1"/>
  <c r="H51" i="32"/>
  <c r="J51" i="30" s="1"/>
  <c r="H52" i="32"/>
  <c r="J52" i="30" s="1"/>
  <c r="H53" i="32"/>
  <c r="J53" i="30" s="1"/>
  <c r="H54" i="32"/>
  <c r="J54" i="30" s="1"/>
  <c r="H55" i="32"/>
  <c r="J55" i="30" s="1"/>
  <c r="H56" i="32"/>
  <c r="J56" i="30" s="1"/>
  <c r="H57" i="32"/>
  <c r="J57" i="30" s="1"/>
  <c r="H59" i="32"/>
  <c r="J59" i="30" s="1"/>
  <c r="H60" i="32"/>
  <c r="J60" i="30" s="1"/>
  <c r="H66" i="32"/>
  <c r="J66" i="30" s="1"/>
  <c r="H67" i="32"/>
  <c r="J67" i="30" s="1"/>
  <c r="B10" i="30"/>
  <c r="B11" i="30" s="1"/>
  <c r="B10" i="32"/>
  <c r="B11" i="32" s="1"/>
  <c r="B12" i="32" s="1"/>
  <c r="B10" i="26"/>
  <c r="B11" i="26" s="1"/>
  <c r="B12" i="26" s="1"/>
  <c r="B13" i="26" s="1"/>
  <c r="B10" i="31"/>
  <c r="B11" i="31" s="1"/>
  <c r="B12" i="31" s="1"/>
  <c r="B13" i="31" s="1"/>
  <c r="B14" i="31" s="1"/>
  <c r="B10" i="27"/>
  <c r="B11" i="27" s="1"/>
  <c r="B12" i="27" s="1"/>
  <c r="B13" i="27" s="1"/>
  <c r="B14" i="27" s="1"/>
  <c r="B10" i="29"/>
  <c r="B11" i="29" s="1"/>
  <c r="B12" i="29" s="1"/>
  <c r="H75" i="29"/>
  <c r="N73" i="30" s="1"/>
  <c r="H73" i="30" s="1"/>
  <c r="H76" i="29"/>
  <c r="N74" i="30" s="1"/>
  <c r="H74" i="30" s="1"/>
  <c r="H77" i="29"/>
  <c r="N75" i="30" s="1"/>
  <c r="H75" i="30" s="1"/>
  <c r="H78" i="29"/>
  <c r="N76" i="30" s="1"/>
  <c r="H76" i="30" s="1"/>
  <c r="H80" i="29"/>
  <c r="N78" i="30" s="1"/>
  <c r="H78" i="30" s="1"/>
  <c r="H81" i="29"/>
  <c r="N79" i="30" s="1"/>
  <c r="H79" i="30" s="1"/>
  <c r="H82" i="29"/>
  <c r="N80" i="30" s="1"/>
  <c r="H80" i="30" s="1"/>
  <c r="H83" i="29"/>
  <c r="N81" i="30" s="1"/>
  <c r="H81" i="30" s="1"/>
  <c r="H84" i="29"/>
  <c r="N82" i="30" s="1"/>
  <c r="H82" i="30" s="1"/>
  <c r="H85" i="29"/>
  <c r="N83" i="30" s="1"/>
  <c r="H83" i="30" s="1"/>
  <c r="H86" i="29"/>
  <c r="N84" i="30" s="1"/>
  <c r="H84" i="30" s="1"/>
  <c r="H87" i="29"/>
  <c r="N85" i="30" s="1"/>
  <c r="H85" i="30" s="1"/>
  <c r="H88" i="29"/>
  <c r="N86" i="30" s="1"/>
  <c r="H86" i="30" s="1"/>
  <c r="H89" i="29"/>
  <c r="N87" i="30" s="1"/>
  <c r="H87" i="30" s="1"/>
  <c r="H90" i="29"/>
  <c r="N88" i="30" s="1"/>
  <c r="H88" i="30" s="1"/>
  <c r="H91" i="29"/>
  <c r="N89" i="30" s="1"/>
  <c r="H89" i="30" s="1"/>
  <c r="H69" i="27"/>
  <c r="M69" i="30" s="1"/>
  <c r="H68" i="27"/>
  <c r="M68" i="30" s="1"/>
  <c r="H66" i="29"/>
  <c r="N66" i="30" s="1"/>
  <c r="L65" i="30"/>
  <c r="H64" i="27"/>
  <c r="M64" i="30" s="1"/>
  <c r="H63" i="29"/>
  <c r="N63" i="30" s="1"/>
  <c r="L63" i="30"/>
  <c r="H63" i="26"/>
  <c r="K63" i="30" s="1"/>
  <c r="H63" i="32"/>
  <c r="J63" i="30" s="1"/>
  <c r="H62" i="29"/>
  <c r="N62" i="30" s="1"/>
  <c r="L62" i="30"/>
  <c r="H62" i="26"/>
  <c r="K62" i="30" s="1"/>
  <c r="E110" i="29"/>
  <c r="F61" i="29" s="1"/>
  <c r="H61" i="29" s="1"/>
  <c r="N61" i="30" s="1"/>
  <c r="G83" i="27"/>
  <c r="E89" i="27" s="1"/>
  <c r="E87" i="27"/>
  <c r="E88" i="31"/>
  <c r="F61" i="31" s="1"/>
  <c r="L61" i="30" s="1"/>
  <c r="H61" i="26"/>
  <c r="K61" i="30" s="1"/>
  <c r="E88" i="32"/>
  <c r="F24" i="32" s="1"/>
  <c r="F61" i="32" s="1"/>
  <c r="H61" i="32" s="1"/>
  <c r="J61" i="30" s="1"/>
  <c r="H60" i="29"/>
  <c r="N60" i="30" s="1"/>
  <c r="H60" i="26"/>
  <c r="K60" i="30" s="1"/>
  <c r="H59" i="29"/>
  <c r="N59" i="30" s="1"/>
  <c r="H59" i="27"/>
  <c r="M59" i="30" s="1"/>
  <c r="L59" i="30"/>
  <c r="H59" i="26"/>
  <c r="K59" i="30" s="1"/>
  <c r="H57" i="29"/>
  <c r="N57" i="30" s="1"/>
  <c r="H57" i="27"/>
  <c r="M57" i="30" s="1"/>
  <c r="L57" i="30"/>
  <c r="H57" i="26"/>
  <c r="K57" i="30" s="1"/>
  <c r="H56" i="29"/>
  <c r="N56" i="30" s="1"/>
  <c r="L56" i="30"/>
  <c r="H56" i="26"/>
  <c r="K56" i="30" s="1"/>
  <c r="H55" i="29"/>
  <c r="N55" i="30" s="1"/>
  <c r="H55" i="27"/>
  <c r="M55" i="30" s="1"/>
  <c r="L55" i="30"/>
  <c r="H55" i="26"/>
  <c r="K55" i="30" s="1"/>
  <c r="H54" i="29"/>
  <c r="N54" i="30" s="1"/>
  <c r="H54" i="27"/>
  <c r="M54" i="30" s="1"/>
  <c r="L54" i="30"/>
  <c r="H54" i="26"/>
  <c r="K54" i="30" s="1"/>
  <c r="H53" i="29"/>
  <c r="N53" i="30" s="1"/>
  <c r="H53" i="27"/>
  <c r="M53" i="30" s="1"/>
  <c r="L53" i="30"/>
  <c r="H53" i="26"/>
  <c r="K53" i="30" s="1"/>
  <c r="H52" i="29"/>
  <c r="N52" i="30" s="1"/>
  <c r="H52" i="27"/>
  <c r="M52" i="30" s="1"/>
  <c r="L52" i="30"/>
  <c r="H52" i="26"/>
  <c r="K52" i="30" s="1"/>
  <c r="H51" i="29"/>
  <c r="N51" i="30" s="1"/>
  <c r="H51" i="27"/>
  <c r="M51" i="30" s="1"/>
  <c r="L51" i="30"/>
  <c r="H51" i="26"/>
  <c r="K51" i="30" s="1"/>
  <c r="H50" i="29"/>
  <c r="N50" i="30" s="1"/>
  <c r="L50" i="30"/>
  <c r="H50" i="26"/>
  <c r="K50" i="30" s="1"/>
  <c r="H49" i="29"/>
  <c r="N49" i="30" s="1"/>
  <c r="L49" i="30"/>
  <c r="H49" i="26"/>
  <c r="K49" i="30" s="1"/>
  <c r="H48" i="29"/>
  <c r="N48" i="30" s="1"/>
  <c r="L48" i="30"/>
  <c r="H48" i="26"/>
  <c r="K48" i="30" s="1"/>
  <c r="H47" i="29"/>
  <c r="N47" i="30" s="1"/>
  <c r="H47" i="26"/>
  <c r="K47" i="30" s="1"/>
  <c r="H46" i="29"/>
  <c r="N46" i="30" s="1"/>
  <c r="L46" i="30"/>
  <c r="H46" i="26"/>
  <c r="K46" i="30" s="1"/>
  <c r="H46" i="32"/>
  <c r="J46" i="30" s="1"/>
  <c r="H45" i="29"/>
  <c r="N45" i="30" s="1"/>
  <c r="H45" i="27"/>
  <c r="M45" i="30" s="1"/>
  <c r="L45" i="30"/>
  <c r="H45" i="26"/>
  <c r="K45" i="30" s="1"/>
  <c r="H44" i="29"/>
  <c r="N44" i="30" s="1"/>
  <c r="H44" i="27"/>
  <c r="M44" i="30" s="1"/>
  <c r="L44" i="30"/>
  <c r="H44" i="26"/>
  <c r="K44" i="30" s="1"/>
  <c r="F43" i="29"/>
  <c r="H43" i="29" s="1"/>
  <c r="N43" i="30" s="1"/>
  <c r="F43" i="31"/>
  <c r="L43" i="30" s="1"/>
  <c r="F43" i="26"/>
  <c r="H43" i="26" s="1"/>
  <c r="K43" i="30" s="1"/>
  <c r="H42" i="29"/>
  <c r="N42" i="30" s="1"/>
  <c r="L42" i="30"/>
  <c r="H42" i="26"/>
  <c r="K42" i="30" s="1"/>
  <c r="H41" i="29"/>
  <c r="N41" i="30" s="1"/>
  <c r="L41" i="30"/>
  <c r="H41" i="26"/>
  <c r="K41" i="30" s="1"/>
  <c r="H40" i="29"/>
  <c r="N40" i="30" s="1"/>
  <c r="L40" i="30"/>
  <c r="H40" i="26"/>
  <c r="K40" i="30" s="1"/>
  <c r="F39" i="29"/>
  <c r="H39" i="29" s="1"/>
  <c r="N39" i="30" s="1"/>
  <c r="F39" i="31"/>
  <c r="L39" i="30" s="1"/>
  <c r="H39" i="26"/>
  <c r="K39" i="30" s="1"/>
  <c r="H38" i="29"/>
  <c r="N38" i="30" s="1"/>
  <c r="L38" i="30"/>
  <c r="H37" i="29"/>
  <c r="N37" i="30" s="1"/>
  <c r="L37" i="30"/>
  <c r="H37" i="26"/>
  <c r="K37" i="30" s="1"/>
  <c r="H36" i="29"/>
  <c r="N36" i="30" s="1"/>
  <c r="L36" i="30"/>
  <c r="H36" i="26"/>
  <c r="K36" i="30" s="1"/>
  <c r="H34" i="29"/>
  <c r="N34" i="30" s="1"/>
  <c r="L34" i="30"/>
  <c r="H34" i="26"/>
  <c r="K34" i="30" s="1"/>
  <c r="H32" i="29"/>
  <c r="N32" i="30" s="1"/>
  <c r="F32" i="31"/>
  <c r="L32" i="30" s="1"/>
  <c r="H32" i="26"/>
  <c r="K32" i="30" s="1"/>
  <c r="H32" i="32"/>
  <c r="J32" i="30" s="1"/>
  <c r="F31" i="29"/>
  <c r="H31" i="29" s="1"/>
  <c r="N31" i="30" s="1"/>
  <c r="F31" i="31"/>
  <c r="L31" i="30" s="1"/>
  <c r="H31" i="26"/>
  <c r="K31" i="30" s="1"/>
  <c r="H30" i="29"/>
  <c r="N30" i="30" s="1"/>
  <c r="L30" i="30"/>
  <c r="H30" i="26"/>
  <c r="K30" i="30" s="1"/>
  <c r="H30" i="32"/>
  <c r="J30" i="30" s="1"/>
  <c r="H29" i="29"/>
  <c r="N29" i="30" s="1"/>
  <c r="L29" i="30"/>
  <c r="H29" i="26"/>
  <c r="K29" i="30" s="1"/>
  <c r="H28" i="29"/>
  <c r="N28" i="30" s="1"/>
  <c r="L28" i="30"/>
  <c r="H28" i="26"/>
  <c r="K28" i="30" s="1"/>
  <c r="H27" i="29"/>
  <c r="N27" i="30" s="1"/>
  <c r="L27" i="30"/>
  <c r="H27" i="26"/>
  <c r="K27" i="30" s="1"/>
  <c r="H25" i="29"/>
  <c r="N25" i="30" s="1"/>
  <c r="H25" i="26"/>
  <c r="K25" i="30" s="1"/>
  <c r="N24" i="30"/>
  <c r="G105" i="29"/>
  <c r="F22" i="29" s="1"/>
  <c r="H22" i="29" s="1"/>
  <c r="N22" i="30" s="1"/>
  <c r="G83" i="31"/>
  <c r="F10" i="31" s="1"/>
  <c r="L10" i="30" s="1"/>
  <c r="G83" i="26"/>
  <c r="F22" i="26" s="1"/>
  <c r="H22" i="26" s="1"/>
  <c r="K22" i="30" s="1"/>
  <c r="G83" i="32"/>
  <c r="F10" i="32" s="1"/>
  <c r="H10" i="32" s="1"/>
  <c r="J10" i="30" s="1"/>
  <c r="H20" i="29"/>
  <c r="N20" i="30" s="1"/>
  <c r="L20" i="30"/>
  <c r="H20" i="26"/>
  <c r="K20" i="30" s="1"/>
  <c r="H19" i="29"/>
  <c r="L19" i="30"/>
  <c r="H19" i="26"/>
  <c r="K19" i="30" s="1"/>
  <c r="H18" i="32"/>
  <c r="J18" i="30" s="1"/>
  <c r="H17" i="29"/>
  <c r="N17" i="30" s="1"/>
  <c r="L17" i="30"/>
  <c r="H17" i="26"/>
  <c r="K17" i="30" s="1"/>
  <c r="F15" i="29"/>
  <c r="H15" i="29" s="1"/>
  <c r="N15" i="30" s="1"/>
  <c r="H15" i="32"/>
  <c r="J15" i="30" s="1"/>
  <c r="F12" i="29"/>
  <c r="H12" i="29" s="1"/>
  <c r="N12" i="30" s="1"/>
  <c r="F12" i="27"/>
  <c r="H12" i="27" s="1"/>
  <c r="M12" i="30" s="1"/>
  <c r="F12" i="31"/>
  <c r="L12" i="30" s="1"/>
  <c r="F12" i="26"/>
  <c r="H12" i="26" s="1"/>
  <c r="K12" i="30" s="1"/>
  <c r="F12" i="32"/>
  <c r="H12" i="32" s="1"/>
  <c r="J12" i="30" s="1"/>
  <c r="F11" i="29"/>
  <c r="H11" i="29" s="1"/>
  <c r="N11" i="30" s="1"/>
  <c r="F11" i="27"/>
  <c r="H11" i="27" s="1"/>
  <c r="M11" i="30" s="1"/>
  <c r="F11" i="31"/>
  <c r="L11" i="30" s="1"/>
  <c r="F11" i="26"/>
  <c r="K11" i="30" s="1"/>
  <c r="F11" i="32"/>
  <c r="H11" i="32" s="1"/>
  <c r="J11" i="30" s="1"/>
  <c r="M10" i="30"/>
  <c r="G114" i="30"/>
  <c r="G113" i="30"/>
  <c r="G112" i="30"/>
  <c r="B111" i="30"/>
  <c r="B112" i="30" s="1"/>
  <c r="B113" i="30" s="1"/>
  <c r="B114" i="30" s="1"/>
  <c r="H74" i="29"/>
  <c r="N72" i="30" s="1"/>
  <c r="H72" i="30" s="1"/>
  <c r="C97" i="27"/>
  <c r="E97" i="27" s="1"/>
  <c r="E98" i="27" s="1"/>
  <c r="C97" i="31"/>
  <c r="D97" i="31"/>
  <c r="E87" i="31"/>
  <c r="C97" i="32"/>
  <c r="M93" i="30"/>
  <c r="L93" i="30"/>
  <c r="K93" i="30"/>
  <c r="J93" i="30"/>
  <c r="E87" i="32"/>
  <c r="C119" i="29"/>
  <c r="C97" i="26"/>
  <c r="D97" i="32"/>
  <c r="D97" i="26"/>
  <c r="D97" i="27"/>
  <c r="D119" i="29"/>
  <c r="E109" i="29"/>
  <c r="E111" i="29" s="1"/>
  <c r="E88" i="26"/>
  <c r="E87" i="26"/>
  <c r="F9" i="29"/>
  <c r="H9" i="29" s="1"/>
  <c r="N9" i="30" s="1"/>
  <c r="N21" i="30" l="1"/>
  <c r="H21" i="30" s="1"/>
  <c r="H71" i="29"/>
  <c r="H94" i="29" s="1"/>
  <c r="F10" i="29"/>
  <c r="H10" i="29" s="1"/>
  <c r="N10" i="30" s="1"/>
  <c r="F13" i="29"/>
  <c r="H13" i="29" s="1"/>
  <c r="N13" i="30" s="1"/>
  <c r="F22" i="27"/>
  <c r="H22" i="27" s="1"/>
  <c r="M22" i="30" s="1"/>
  <c r="E88" i="27"/>
  <c r="F13" i="31"/>
  <c r="L13" i="30" s="1"/>
  <c r="F22" i="31"/>
  <c r="L22" i="30" s="1"/>
  <c r="F9" i="31"/>
  <c r="F10" i="26"/>
  <c r="H10" i="26" s="1"/>
  <c r="K10" i="30" s="1"/>
  <c r="E89" i="26"/>
  <c r="F97" i="26"/>
  <c r="E89" i="31"/>
  <c r="F24" i="31"/>
  <c r="F25" i="31" s="1"/>
  <c r="L25" i="30" s="1"/>
  <c r="F119" i="29"/>
  <c r="F13" i="27"/>
  <c r="H13" i="27" s="1"/>
  <c r="M13" i="30" s="1"/>
  <c r="F97" i="31"/>
  <c r="H69" i="30"/>
  <c r="E89" i="32"/>
  <c r="E119" i="29"/>
  <c r="E120" i="29" s="1"/>
  <c r="E97" i="26"/>
  <c r="E98" i="26" s="1"/>
  <c r="F9" i="32"/>
  <c r="J9" i="30" s="1"/>
  <c r="F13" i="32"/>
  <c r="H13" i="32" s="1"/>
  <c r="J13" i="30" s="1"/>
  <c r="F97" i="32"/>
  <c r="F22" i="32"/>
  <c r="H22" i="32" s="1"/>
  <c r="J22" i="30" s="1"/>
  <c r="F24" i="27"/>
  <c r="F9" i="27"/>
  <c r="H9" i="27" s="1"/>
  <c r="M9" i="30" s="1"/>
  <c r="H32" i="30"/>
  <c r="H63" i="30"/>
  <c r="H15" i="30"/>
  <c r="H46" i="30"/>
  <c r="E97" i="31"/>
  <c r="E98" i="31" s="1"/>
  <c r="H92" i="29"/>
  <c r="F9" i="26"/>
  <c r="H9" i="26" s="1"/>
  <c r="K9" i="30" s="1"/>
  <c r="F97" i="27"/>
  <c r="F13" i="26"/>
  <c r="H13" i="26" s="1"/>
  <c r="K13" i="30" s="1"/>
  <c r="H24" i="32"/>
  <c r="J24" i="30" s="1"/>
  <c r="H59" i="30"/>
  <c r="E97" i="32"/>
  <c r="E98" i="32" s="1"/>
  <c r="L9" i="30"/>
  <c r="H18" i="30"/>
  <c r="H65" i="30"/>
  <c r="B13" i="29"/>
  <c r="B14" i="29" s="1"/>
  <c r="N19" i="30"/>
  <c r="H67" i="30"/>
  <c r="H38" i="30"/>
  <c r="B15" i="27"/>
  <c r="B16" i="27"/>
  <c r="H26" i="30"/>
  <c r="H64" i="30"/>
  <c r="H66" i="30"/>
  <c r="B16" i="31"/>
  <c r="B15" i="31"/>
  <c r="H27" i="30"/>
  <c r="H17" i="30"/>
  <c r="H42" i="30"/>
  <c r="H36" i="30"/>
  <c r="H57" i="30"/>
  <c r="H23" i="30"/>
  <c r="H30" i="30"/>
  <c r="B14" i="26"/>
  <c r="H49" i="30"/>
  <c r="H20" i="30"/>
  <c r="H12" i="30"/>
  <c r="H55" i="30"/>
  <c r="H34" i="30"/>
  <c r="H47" i="30"/>
  <c r="H31" i="30"/>
  <c r="H54" i="30"/>
  <c r="H29" i="30"/>
  <c r="H44" i="30"/>
  <c r="H52" i="30"/>
  <c r="H68" i="30"/>
  <c r="H62" i="30"/>
  <c r="H39" i="30"/>
  <c r="H60" i="30"/>
  <c r="H41" i="30"/>
  <c r="H11" i="30"/>
  <c r="H50" i="30"/>
  <c r="B13" i="32"/>
  <c r="B14" i="32" s="1"/>
  <c r="H40" i="30"/>
  <c r="H37" i="30"/>
  <c r="H56" i="30"/>
  <c r="H48" i="30"/>
  <c r="H28" i="30"/>
  <c r="H51" i="30"/>
  <c r="H45" i="30"/>
  <c r="H35" i="30"/>
  <c r="H53" i="30"/>
  <c r="H43" i="30"/>
  <c r="B12" i="30"/>
  <c r="B13" i="30" s="1"/>
  <c r="B14" i="30" s="1"/>
  <c r="H97" i="29" l="1"/>
  <c r="H98" i="29" s="1"/>
  <c r="H10" i="30"/>
  <c r="N91" i="30"/>
  <c r="H22" i="30"/>
  <c r="L24" i="30"/>
  <c r="H9" i="30"/>
  <c r="L91" i="30"/>
  <c r="K91" i="30"/>
  <c r="J91" i="30"/>
  <c r="H19" i="30"/>
  <c r="H13" i="30"/>
  <c r="H72" i="26"/>
  <c r="H72" i="32"/>
  <c r="F61" i="27"/>
  <c r="H61" i="27" s="1"/>
  <c r="F25" i="27"/>
  <c r="H25" i="27" s="1"/>
  <c r="M25" i="30" s="1"/>
  <c r="H25" i="30" s="1"/>
  <c r="H24" i="27"/>
  <c r="B15" i="29"/>
  <c r="B16" i="29"/>
  <c r="B19" i="27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17" i="27"/>
  <c r="B18" i="27" s="1"/>
  <c r="B17" i="31"/>
  <c r="B19" i="3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15" i="26"/>
  <c r="B16" i="26"/>
  <c r="B15" i="32"/>
  <c r="B16" i="32"/>
  <c r="B16" i="30"/>
  <c r="B15" i="30"/>
  <c r="H75" i="32" l="1"/>
  <c r="H76" i="32" s="1"/>
  <c r="H75" i="26"/>
  <c r="K94" i="30" s="1"/>
  <c r="H76" i="26"/>
  <c r="J94" i="30"/>
  <c r="M61" i="30"/>
  <c r="H61" i="30" s="1"/>
  <c r="K92" i="30"/>
  <c r="N94" i="30"/>
  <c r="N93" i="30"/>
  <c r="H93" i="30" s="1"/>
  <c r="J92" i="30"/>
  <c r="M24" i="30"/>
  <c r="B17" i="29"/>
  <c r="B19" i="29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9" i="27"/>
  <c r="B40" i="27" s="1"/>
  <c r="B41" i="27" s="1"/>
  <c r="B42" i="27" s="1"/>
  <c r="B43" i="27" s="1"/>
  <c r="B44" i="27" s="1"/>
  <c r="B45" i="27" s="1"/>
  <c r="B46" i="27" s="1"/>
  <c r="B34" i="27"/>
  <c r="B35" i="27" s="1"/>
  <c r="B36" i="27" s="1"/>
  <c r="B37" i="27" s="1"/>
  <c r="B38" i="27" s="1"/>
  <c r="B39" i="31"/>
  <c r="B40" i="31" s="1"/>
  <c r="B41" i="31" s="1"/>
  <c r="B42" i="31" s="1"/>
  <c r="B43" i="31" s="1"/>
  <c r="B44" i="31" s="1"/>
  <c r="B45" i="31" s="1"/>
  <c r="B46" i="31" s="1"/>
  <c r="B34" i="31"/>
  <c r="B35" i="31" s="1"/>
  <c r="B36" i="31" s="1"/>
  <c r="B37" i="31" s="1"/>
  <c r="B38" i="31" s="1"/>
  <c r="B18" i="31"/>
  <c r="B19" i="26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17" i="26"/>
  <c r="B19" i="32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17" i="32"/>
  <c r="B18" i="32" s="1"/>
  <c r="B17" i="30"/>
  <c r="B18" i="30" s="1"/>
  <c r="B19" i="30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K95" i="30" l="1"/>
  <c r="J95" i="30"/>
  <c r="L92" i="30"/>
  <c r="N92" i="30"/>
  <c r="N95" i="30" s="1"/>
  <c r="M94" i="30"/>
  <c r="M91" i="30"/>
  <c r="H24" i="30"/>
  <c r="H91" i="30" s="1"/>
  <c r="B34" i="29"/>
  <c r="B35" i="29" s="1"/>
  <c r="B36" i="29" s="1"/>
  <c r="B37" i="29" s="1"/>
  <c r="B38" i="29" s="1"/>
  <c r="B39" i="29"/>
  <c r="B40" i="29" s="1"/>
  <c r="B41" i="29" s="1"/>
  <c r="B42" i="29" s="1"/>
  <c r="B43" i="29" s="1"/>
  <c r="B44" i="29" s="1"/>
  <c r="B45" i="29" s="1"/>
  <c r="B46" i="29" s="1"/>
  <c r="B18" i="29"/>
  <c r="B47" i="27"/>
  <c r="B48" i="27" s="1"/>
  <c r="B49" i="27" s="1"/>
  <c r="B50" i="27" s="1"/>
  <c r="B51" i="27" s="1"/>
  <c r="B47" i="31"/>
  <c r="B48" i="31" s="1"/>
  <c r="B49" i="31" s="1"/>
  <c r="B50" i="31" s="1"/>
  <c r="B51" i="31" s="1"/>
  <c r="B18" i="26"/>
  <c r="B39" i="26"/>
  <c r="B40" i="26" s="1"/>
  <c r="B41" i="26" s="1"/>
  <c r="B42" i="26" s="1"/>
  <c r="B43" i="26" s="1"/>
  <c r="B44" i="26" s="1"/>
  <c r="B45" i="26" s="1"/>
  <c r="B46" i="26" s="1"/>
  <c r="B34" i="26"/>
  <c r="B35" i="26" s="1"/>
  <c r="B36" i="26" s="1"/>
  <c r="B37" i="26" s="1"/>
  <c r="B38" i="26" s="1"/>
  <c r="B39" i="32"/>
  <c r="B40" i="32" s="1"/>
  <c r="B41" i="32" s="1"/>
  <c r="B42" i="32" s="1"/>
  <c r="B43" i="32" s="1"/>
  <c r="B44" i="32" s="1"/>
  <c r="B45" i="32" s="1"/>
  <c r="B46" i="32" s="1"/>
  <c r="B34" i="32"/>
  <c r="B35" i="32" s="1"/>
  <c r="B36" i="32" s="1"/>
  <c r="B37" i="32" s="1"/>
  <c r="B38" i="32" s="1"/>
  <c r="B39" i="30"/>
  <c r="B40" i="30" s="1"/>
  <c r="B41" i="30" s="1"/>
  <c r="B42" i="30" s="1"/>
  <c r="B43" i="30" s="1"/>
  <c r="B44" i="30" s="1"/>
  <c r="B45" i="30" s="1"/>
  <c r="B46" i="30" s="1"/>
  <c r="B34" i="30"/>
  <c r="B35" i="30" s="1"/>
  <c r="B36" i="30" s="1"/>
  <c r="B37" i="30" s="1"/>
  <c r="B38" i="30" s="1"/>
  <c r="M92" i="30" l="1"/>
  <c r="B47" i="29"/>
  <c r="B48" i="29" s="1"/>
  <c r="B49" i="29" s="1"/>
  <c r="B50" i="29" s="1"/>
  <c r="B51" i="29" s="1"/>
  <c r="B52" i="27"/>
  <c r="B53" i="27"/>
  <c r="B54" i="27" s="1"/>
  <c r="B55" i="27" s="1"/>
  <c r="B56" i="27" s="1"/>
  <c r="B52" i="31"/>
  <c r="B53" i="31"/>
  <c r="B54" i="31" s="1"/>
  <c r="B55" i="31" s="1"/>
  <c r="B56" i="31" s="1"/>
  <c r="B57" i="31" s="1"/>
  <c r="B47" i="26"/>
  <c r="B48" i="26" s="1"/>
  <c r="B49" i="26" s="1"/>
  <c r="B50" i="26" s="1"/>
  <c r="B51" i="26" s="1"/>
  <c r="B47" i="32"/>
  <c r="B48" i="32" s="1"/>
  <c r="B49" i="32" s="1"/>
  <c r="B50" i="32" s="1"/>
  <c r="B51" i="32" s="1"/>
  <c r="B47" i="30"/>
  <c r="B48" i="30" s="1"/>
  <c r="B49" i="30" s="1"/>
  <c r="B50" i="30" s="1"/>
  <c r="B51" i="30" s="1"/>
  <c r="B57" i="27" l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M95" i="30"/>
  <c r="H92" i="30"/>
  <c r="B58" i="3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53" i="29"/>
  <c r="B54" i="29" s="1"/>
  <c r="B55" i="29" s="1"/>
  <c r="B56" i="29" s="1"/>
  <c r="B52" i="29"/>
  <c r="B52" i="26"/>
  <c r="B53" i="26"/>
  <c r="B54" i="26" s="1"/>
  <c r="B55" i="26" s="1"/>
  <c r="B56" i="26" s="1"/>
  <c r="B57" i="26" s="1"/>
  <c r="B53" i="32"/>
  <c r="B54" i="32" s="1"/>
  <c r="B55" i="32" s="1"/>
  <c r="B56" i="32" s="1"/>
  <c r="B52" i="32"/>
  <c r="B52" i="30"/>
  <c r="B53" i="30"/>
  <c r="B54" i="30" s="1"/>
  <c r="B55" i="30" s="1"/>
  <c r="B56" i="30" s="1"/>
  <c r="B57" i="30" s="1"/>
  <c r="B58" i="30" l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2" i="30" s="1"/>
  <c r="B73" i="30" s="1"/>
  <c r="B74" i="30" s="1"/>
  <c r="B75" i="30" s="1"/>
  <c r="B76" i="30" s="1"/>
  <c r="B77" i="30" s="1"/>
  <c r="B57" i="32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57" i="29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4" i="29" s="1"/>
  <c r="B75" i="29" s="1"/>
  <c r="B76" i="29" s="1"/>
  <c r="B77" i="29" s="1"/>
  <c r="B78" i="29" s="1"/>
  <c r="B79" i="29" s="1"/>
  <c r="B58" i="26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80" i="29" l="1"/>
  <c r="B81" i="29" s="1"/>
  <c r="B82" i="29" s="1"/>
  <c r="B83" i="29" s="1"/>
  <c r="B84" i="29" s="1"/>
  <c r="B85" i="29" s="1"/>
  <c r="B86" i="29" s="1"/>
  <c r="B87" i="29" s="1"/>
  <c r="B88" i="29"/>
  <c r="B89" i="29" s="1"/>
  <c r="B90" i="29" s="1"/>
  <c r="B91" i="29" s="1"/>
  <c r="B78" i="30"/>
  <c r="B79" i="30" s="1"/>
  <c r="B80" i="30" s="1"/>
  <c r="B81" i="30" s="1"/>
  <c r="B82" i="30" s="1"/>
  <c r="B83" i="30" s="1"/>
  <c r="B84" i="30" s="1"/>
  <c r="B85" i="30" s="1"/>
  <c r="B86" i="30"/>
  <c r="B87" i="30" s="1"/>
  <c r="B88" i="30" s="1"/>
  <c r="B89" i="30" s="1"/>
  <c r="B92" i="30" s="1"/>
  <c r="B93" i="30" s="1"/>
  <c r="B94" i="30" s="1"/>
  <c r="B95" i="29"/>
  <c r="B73" i="26" l="1"/>
  <c r="B73" i="31"/>
  <c r="B73" i="32"/>
  <c r="B74" i="32" s="1"/>
  <c r="B75" i="32" s="1"/>
  <c r="B73" i="27"/>
  <c r="B96" i="29"/>
  <c r="B97" i="29" s="1"/>
  <c r="B74" i="26" l="1"/>
  <c r="B75" i="26" s="1"/>
  <c r="B74" i="27"/>
  <c r="B75" i="27" s="1"/>
  <c r="B74" i="31"/>
  <c r="B75" i="31" s="1"/>
  <c r="L94" i="30"/>
  <c r="H94" i="30" l="1"/>
  <c r="H95" i="30" s="1"/>
  <c r="L95" i="30"/>
</calcChain>
</file>

<file path=xl/sharedStrings.xml><?xml version="1.0" encoding="utf-8"?>
<sst xmlns="http://schemas.openxmlformats.org/spreadsheetml/2006/main" count="1435" uniqueCount="288">
  <si>
    <t>DESCRIPTION</t>
  </si>
  <si>
    <t>UNITS</t>
  </si>
  <si>
    <t>QTY.</t>
  </si>
  <si>
    <t>Total Construction Cost</t>
  </si>
  <si>
    <t>Note:</t>
  </si>
  <si>
    <t>LF</t>
  </si>
  <si>
    <t>EA</t>
  </si>
  <si>
    <t>Opinion of cost assumes construction to be completed by private contractor.</t>
  </si>
  <si>
    <t>Wetwell Cleaning</t>
  </si>
  <si>
    <t>SF</t>
  </si>
  <si>
    <t>Influent Line Plug</t>
  </si>
  <si>
    <t>By-Pass Pumping</t>
  </si>
  <si>
    <t>ITEM NO.</t>
  </si>
  <si>
    <t>UNIT PRICE            ($)</t>
  </si>
  <si>
    <t>EXTENDED PRICE                ($)</t>
  </si>
  <si>
    <t>Top Elevation:</t>
  </si>
  <si>
    <t>NGVD</t>
  </si>
  <si>
    <t>WW Depth:</t>
  </si>
  <si>
    <t>Bottom Elevation:</t>
  </si>
  <si>
    <t>Wet Well Dia:</t>
  </si>
  <si>
    <t>ft</t>
  </si>
  <si>
    <t>WW2Cross:</t>
  </si>
  <si>
    <t>Cross2P.V.:</t>
  </si>
  <si>
    <t>Top or Bottom Surface Area:</t>
  </si>
  <si>
    <t>sq-ft</t>
  </si>
  <si>
    <t>Total Internal Surface Area:</t>
  </si>
  <si>
    <t>Wall Surface Area:</t>
  </si>
  <si>
    <t>VF</t>
  </si>
  <si>
    <t>LIFT STATION REHABILITATION</t>
  </si>
  <si>
    <t>EXTENDED PRICE
($)</t>
  </si>
  <si>
    <t>Opinion of cost assumes construction to be completed by  private contractor.</t>
  </si>
  <si>
    <t>S.S. Pipe Bracing</t>
  </si>
  <si>
    <t>Resilient (Link) Seals w/ Carrier Pipe &amp; Liner Repair</t>
  </si>
  <si>
    <t>S.S. Pipe Bracing, 6 ft dia.</t>
  </si>
  <si>
    <t>Ductile Iron Fittings</t>
  </si>
  <si>
    <t>LS</t>
  </si>
  <si>
    <t>Remove &amp; Replace Ex. PVC Drain P-trap (regrout) &amp; Liner Repair</t>
  </si>
  <si>
    <t>Wetwell Liner, spray-on</t>
  </si>
  <si>
    <t>No. of Pumps</t>
  </si>
  <si>
    <t>Add Stilling Well</t>
  </si>
  <si>
    <t>Yes</t>
  </si>
  <si>
    <t>No</t>
  </si>
  <si>
    <t>Valve Vault to be Raised:</t>
  </si>
  <si>
    <t>Meter Vault to be Raised:</t>
  </si>
  <si>
    <t>1AA</t>
  </si>
  <si>
    <t>4-8AA</t>
  </si>
  <si>
    <t>20-22AA</t>
  </si>
  <si>
    <t>23-26AA</t>
  </si>
  <si>
    <t>26-32AA</t>
  </si>
  <si>
    <t>34-37AA</t>
  </si>
  <si>
    <t>38-41AA</t>
  </si>
  <si>
    <t>42-48AA</t>
  </si>
  <si>
    <t>49AA</t>
  </si>
  <si>
    <t>54-58AA</t>
  </si>
  <si>
    <t>71-72AA</t>
  </si>
  <si>
    <t>73-77AA</t>
  </si>
  <si>
    <t>78-82AA</t>
  </si>
  <si>
    <t>83-87AA</t>
  </si>
  <si>
    <t>88AA</t>
  </si>
  <si>
    <t>90-94AA</t>
  </si>
  <si>
    <t>95-96AA</t>
  </si>
  <si>
    <t>97AA</t>
  </si>
  <si>
    <t>101-105AA</t>
  </si>
  <si>
    <t>106-110AA</t>
  </si>
  <si>
    <t>116-123AA</t>
  </si>
  <si>
    <t>124-127AA</t>
  </si>
  <si>
    <t>129AA</t>
  </si>
  <si>
    <t>59-65AA</t>
  </si>
  <si>
    <t>New Spray Liner</t>
  </si>
  <si>
    <t>Gate Valve, MJ</t>
  </si>
  <si>
    <t>Concrete Slab, Valve Assembly</t>
  </si>
  <si>
    <t>Above Ground Valve Assembly</t>
  </si>
  <si>
    <t>4AB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</si>
  <si>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</si>
  <si>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</si>
  <si>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</si>
  <si>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</si>
  <si>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</si>
  <si>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</si>
  <si>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</si>
  <si>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1AB</t>
  </si>
  <si>
    <t>2AB</t>
  </si>
  <si>
    <t>19AB</t>
  </si>
  <si>
    <t>29AB</t>
  </si>
  <si>
    <t>Grout Fill Ex. Drain, abandon</t>
  </si>
  <si>
    <t>2" S.S.Pump Guide Rail System</t>
  </si>
  <si>
    <t>Record Drawings*</t>
  </si>
  <si>
    <t>Aluminum Hatch Cover, 36" x 48", single door (Wetwell)</t>
  </si>
  <si>
    <t>Aluminum Hatch Cover, 48" x 48", double door (Valve Vault)</t>
  </si>
  <si>
    <t>17A</t>
  </si>
  <si>
    <t>19A</t>
  </si>
  <si>
    <t>Replace Guide Rails?</t>
  </si>
  <si>
    <t>Design Point:</t>
  </si>
  <si>
    <t>1 pump</t>
  </si>
  <si>
    <t>2 pumps (150%)</t>
  </si>
  <si>
    <t>HDPE ID</t>
  </si>
  <si>
    <t>PVC ID</t>
  </si>
  <si>
    <t>Dia. Disch. Pipe (in)</t>
  </si>
  <si>
    <t>Design Flow (gpm)</t>
  </si>
  <si>
    <t>Vel. In Disch. Pipe (f/s)</t>
  </si>
  <si>
    <t>Washed Shell with Weed Barrier</t>
  </si>
  <si>
    <t>DIA.</t>
  </si>
  <si>
    <t>Sch 80</t>
  </si>
  <si>
    <t>Install New Lift Station Driveway, 6" thick concrete</t>
  </si>
  <si>
    <t>25AB</t>
  </si>
  <si>
    <t>Wetwell Discharge Piping, HDPE DR-11</t>
  </si>
  <si>
    <t>Pump Base Ells, BPIU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</si>
  <si>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</si>
  <si>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</si>
  <si>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</si>
  <si>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</si>
  <si>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</si>
  <si>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</si>
  <si>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</si>
  <si>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Gate Valve, FLG</t>
  </si>
  <si>
    <t>Swing Check Valve, FLG</t>
  </si>
  <si>
    <t>Pipe, D.I., FLG</t>
  </si>
  <si>
    <t>Coupling Adapters, D.I., FLG, 4"</t>
  </si>
  <si>
    <t>Coupling Adapters, D.I., FLG</t>
  </si>
  <si>
    <t>Ex. Antenna Concrete Base, remove &amp; disposal</t>
  </si>
  <si>
    <t>@</t>
  </si>
  <si>
    <t>1-12P</t>
  </si>
  <si>
    <t>Influent Line Plug, 8"</t>
  </si>
  <si>
    <t>U/M</t>
  </si>
  <si>
    <t>UNIT               PRICE</t>
  </si>
  <si>
    <t>Sodding</t>
  </si>
  <si>
    <t>33AA</t>
  </si>
  <si>
    <t>36AB</t>
  </si>
  <si>
    <t>Wetwell Discharge Piping, HDPE DR-11, 4"</t>
  </si>
  <si>
    <t>Pump Base Ells, BPIU-14</t>
  </si>
  <si>
    <t>Pipe, PVC (DR-18), 4"</t>
  </si>
  <si>
    <t>Pipe, PVC (DR-18)</t>
  </si>
  <si>
    <t>Remove &amp; Replace Electrical Service</t>
  </si>
  <si>
    <t>Subtotal Construction Cost</t>
  </si>
  <si>
    <t>*(% of Subtotal)</t>
  </si>
  <si>
    <t>TCU &amp; Fiberglass Enclosure, DFS</t>
  </si>
  <si>
    <t>Junction Box, 304 SS</t>
  </si>
  <si>
    <t>Remove &amp; Replace Ex. PVC Drain P-trap (regrout)</t>
  </si>
  <si>
    <t>Repair Ex. Liner, if required</t>
  </si>
  <si>
    <t xml:space="preserve">     Tee, FLG, 4"</t>
  </si>
  <si>
    <t xml:space="preserve">     90, FLG, 4"</t>
  </si>
  <si>
    <t xml:space="preserve">     90, MJ, 4"</t>
  </si>
  <si>
    <t xml:space="preserve">     45, MJ, 4"</t>
  </si>
  <si>
    <t xml:space="preserve">     Tee, FLG, 6"</t>
  </si>
  <si>
    <t xml:space="preserve">     90, FLG, 6"</t>
  </si>
  <si>
    <t xml:space="preserve">     90, MJ, 6"</t>
  </si>
  <si>
    <t xml:space="preserve">     45, MJ, 6"</t>
  </si>
  <si>
    <t>Coupling Adapters, D.I., FLG, 6"</t>
  </si>
  <si>
    <t>Gate Valve, FLG, 6"</t>
  </si>
  <si>
    <t>Swing Check Valve, FLG, 6"</t>
  </si>
  <si>
    <t>Gate Valve, MJ, 6"</t>
  </si>
  <si>
    <t>Pipe, D.I., FLG, 6"</t>
  </si>
  <si>
    <r>
      <t>Wet Well to be Raised/</t>
    </r>
    <r>
      <rPr>
        <sz val="10"/>
        <color rgb="FFFF0000"/>
        <rFont val="Cambria"/>
        <family val="1"/>
      </rPr>
      <t>(Lowered):</t>
    </r>
  </si>
  <si>
    <t>Wetwell Discharge Piping, HDPE DR-11, 6"</t>
  </si>
  <si>
    <t>New Conc. Floor &amp; Fillet, 4,000 psi</t>
  </si>
  <si>
    <t>CY</t>
  </si>
  <si>
    <t>53AA</t>
  </si>
  <si>
    <t>Pipe, PVC (DR-18), 6"</t>
  </si>
  <si>
    <t>taken from Lsinfo 2018</t>
  </si>
  <si>
    <t>Aluminum Hatch Cover, varies, single door (Wetwell)</t>
  </si>
  <si>
    <t>If Vel. In Disch. Pipe (1 pump) ≥ 8 f/s upsize pipe diameter</t>
  </si>
  <si>
    <t>Level Transducer, GXS3-PP300-A49-B49-50-C01-D49</t>
  </si>
  <si>
    <t>PVC Vent, Sch 80, 6"</t>
  </si>
  <si>
    <t>S.S. Pipe Bracing, 4 ft dia.</t>
  </si>
  <si>
    <t>Modify Existing Rim Elevation</t>
  </si>
  <si>
    <t xml:space="preserve">     Wet Well</t>
  </si>
  <si>
    <t xml:space="preserve">     Valve Vault</t>
  </si>
  <si>
    <t>Replace Existing Top Slab</t>
  </si>
  <si>
    <t>New 301 Ind Park</t>
  </si>
  <si>
    <t>Lakewood Meadows</t>
  </si>
  <si>
    <t>Mote Ranch 3</t>
  </si>
  <si>
    <t>41A</t>
  </si>
  <si>
    <t>Arnold Palmer Green 1</t>
  </si>
  <si>
    <t>PVC Vent, Sch 80</t>
  </si>
  <si>
    <t>Wetwell Discharge Piping, PVC (SCH 80) 2"</t>
  </si>
  <si>
    <t>Pump Base Ells, BPIU-12</t>
  </si>
  <si>
    <t>Gate Valve, MJ, 2"</t>
  </si>
  <si>
    <r>
      <t>Wet Well to be Raised/</t>
    </r>
    <r>
      <rPr>
        <sz val="10"/>
        <color rgb="FFFF0000"/>
        <rFont val="Cambria"/>
        <family val="1"/>
      </rPr>
      <t>(Lowered)</t>
    </r>
    <r>
      <rPr>
        <sz val="10"/>
        <rFont val="Cambria"/>
        <family val="1"/>
      </rPr>
      <t>:</t>
    </r>
  </si>
  <si>
    <t>Wet Well 10'x12' Rect.:</t>
  </si>
  <si>
    <t>Fittings, type varies</t>
  </si>
  <si>
    <t xml:space="preserve">     Tee</t>
  </si>
  <si>
    <t xml:space="preserve">     Cross</t>
  </si>
  <si>
    <t xml:space="preserve">     90</t>
  </si>
  <si>
    <t xml:space="preserve">     45</t>
  </si>
  <si>
    <t>Aluminum Hatch Cover, 30" x 42", single door (Wetwell)</t>
  </si>
  <si>
    <t xml:space="preserve">     Wet Well, lower</t>
  </si>
  <si>
    <t>Check Valve, 2"</t>
  </si>
  <si>
    <t>Gate Valve, 2"</t>
  </si>
  <si>
    <t>Pipe, PVC (SCH 80), force main, 2"</t>
  </si>
  <si>
    <t>Fittings, PVC</t>
  </si>
  <si>
    <t xml:space="preserve">     Cross, 2"</t>
  </si>
  <si>
    <t xml:space="preserve">     90, 2"</t>
  </si>
  <si>
    <t xml:space="preserve">     45, 2"</t>
  </si>
  <si>
    <t>S.S. Adjustable Pipe Supports</t>
  </si>
  <si>
    <t>Concrete Slab, valve vault floor</t>
  </si>
  <si>
    <t xml:space="preserve">     Includes TCU Bubbler Unit (TBU-360) by DFS</t>
  </si>
  <si>
    <t>Fill Dirt, clean and compacted</t>
  </si>
  <si>
    <t xml:space="preserve">     Wet Well, 12" thick</t>
  </si>
  <si>
    <t>Fittings, ductile iron</t>
  </si>
  <si>
    <t>Quick Coupler Adapter, aluminum, male, w/ alum dust cap, 2"</t>
  </si>
  <si>
    <t>Quick Coupler Adapter, aluminum, male, w/ alum dust</t>
  </si>
  <si>
    <t>Quick Coupler Adapter, aluminum, male, w/ alum dust cap, 6"</t>
  </si>
  <si>
    <t>Quick Coupler Adapter, aluminum, male, w/ alum dust cap, 4"</t>
  </si>
  <si>
    <t xml:space="preserve">Remove Ex. Liner             </t>
  </si>
  <si>
    <t>S.S. Pipe Bracing, 10 ft dia.</t>
  </si>
  <si>
    <t>Pump Base Ells, BPIU-16</t>
  </si>
  <si>
    <t xml:space="preserve">Remove Ex. Liner          </t>
  </si>
  <si>
    <t>Influent Line Plug, 24"</t>
  </si>
  <si>
    <t>S.S. Pipe Bracing, 8 ft dia.</t>
  </si>
  <si>
    <t xml:space="preserve"> EMERGENCY GENERATOR REMOVAL-EMERGENCY BACKUP PUMP INSTALLATION</t>
  </si>
  <si>
    <t>Site Demolition</t>
  </si>
  <si>
    <t>Reinforced Concrete Slab (poured in place)</t>
  </si>
  <si>
    <t>Emergency Backup Pump &amp; Fuel Tank</t>
  </si>
  <si>
    <t>PVC Pipe (C900, DR-18), 6" (Pump Discharge Line)</t>
  </si>
  <si>
    <t>HDPE DR-11, 8" (Pump Suction Line)</t>
  </si>
  <si>
    <t xml:space="preserve">     45, MJ, 6" </t>
  </si>
  <si>
    <t xml:space="preserve">     45, FLG, 8"</t>
  </si>
  <si>
    <t xml:space="preserve">     90, FLG. 8"</t>
  </si>
  <si>
    <t xml:space="preserve">     90, MJ, 8"</t>
  </si>
  <si>
    <t xml:space="preserve">     90, HDPE Molded , Fusion Welded, 8"</t>
  </si>
  <si>
    <t>Sch 80 PVC Conduit, 2"</t>
  </si>
  <si>
    <t>PVC Stilling Well, 6"</t>
  </si>
  <si>
    <t>Permits</t>
  </si>
  <si>
    <t>Intentionally Left Blank</t>
  </si>
  <si>
    <t>Upgrade / Relocate Ex. Meter, Backflow, &amp; Hose Bibb Assembly</t>
  </si>
  <si>
    <t>Replace Ex. Tapping Saddle; Install Brass Plug</t>
  </si>
  <si>
    <t>Abandon Existing Structure</t>
  </si>
  <si>
    <t>Liner, spray-on</t>
  </si>
  <si>
    <t>Hatch Cover Size Requirements</t>
  </si>
  <si>
    <t>Disch Pipe Size</t>
  </si>
  <si>
    <t>Hatch Size</t>
  </si>
  <si>
    <t>WW Dia. Range</t>
  </si>
  <si>
    <t>3"</t>
  </si>
  <si>
    <t>30"x32"</t>
  </si>
  <si>
    <t>41"</t>
  </si>
  <si>
    <t>*side-out let tee</t>
  </si>
  <si>
    <t>4"*</t>
  </si>
  <si>
    <t>30"x42"</t>
  </si>
  <si>
    <t>4'</t>
  </si>
  <si>
    <t>4"</t>
  </si>
  <si>
    <t>30"x48"</t>
  </si>
  <si>
    <t>5'</t>
  </si>
  <si>
    <t>36"x48"</t>
  </si>
  <si>
    <t>6'</t>
  </si>
  <si>
    <t>6"</t>
  </si>
  <si>
    <t>36"x60"</t>
  </si>
  <si>
    <t>6', 8'</t>
  </si>
  <si>
    <t>8"</t>
  </si>
  <si>
    <t>36"x72"</t>
  </si>
  <si>
    <t>8'</t>
  </si>
  <si>
    <t>Below</t>
  </si>
  <si>
    <t>Above</t>
  </si>
  <si>
    <t>Install Drop Bowl, gravity influent</t>
  </si>
  <si>
    <t>Tree Removal</t>
  </si>
  <si>
    <t xml:space="preserve">      4.1"-6"</t>
  </si>
  <si>
    <t xml:space="preserve">     6.1"-12"</t>
  </si>
  <si>
    <t xml:space="preserve">     12.1"-24" or Cluster Equivalent</t>
  </si>
  <si>
    <t>Handrail, FDOT Index 850, LF</t>
  </si>
  <si>
    <t>Restore Ex. Meter Vault</t>
  </si>
  <si>
    <t>Tree/Brush Removal</t>
  </si>
  <si>
    <t>Elect. System Study &amp; Elect. Study Analysis, (NFPA 70E), complete</t>
  </si>
  <si>
    <t>53-62</t>
  </si>
  <si>
    <t>Re-Install Ex. Meter Vault Top &amp; Gate Valve Removal</t>
  </si>
  <si>
    <t>400-0-11; Concrete Class NS, Gravity Wall; CY</t>
  </si>
  <si>
    <t>515-2311; Handrail, Aluminum, 42" Type 1; LF</t>
  </si>
  <si>
    <t xml:space="preserve"> EMERGENCY GENERATOR REMOVAL-EMERGENCY BACKUP PUMP INSTALLATION - ARNOLD PALMER GREEN 1 ONLY</t>
  </si>
  <si>
    <t xml:space="preserve">     Red., FLG, 4"x6" (pump connection fitting, adjust as necessary)</t>
  </si>
  <si>
    <t xml:space="preserve">     Red., FLG,  4"x8" (pump connection fitting, adjust as necessary)</t>
  </si>
  <si>
    <t>Concrete Repair, 2" thick, (inside wet well, if required)</t>
  </si>
  <si>
    <t>Water Service Connection and Line, 2"</t>
  </si>
  <si>
    <t>Concrete Retaining Wall w/ Aluminum Safety Rail</t>
  </si>
  <si>
    <t>APPENDIX K, BID PRICING FORM</t>
  </si>
  <si>
    <t>IFBC No 21-TA003622SAM</t>
  </si>
  <si>
    <t>PROJECT NUMBER: 402-0019707</t>
  </si>
  <si>
    <t>PROJECT NAME: SATELLITE LIFT STATION R&amp;R 2020 GROUP 3</t>
  </si>
  <si>
    <t>Mobilization</t>
  </si>
  <si>
    <t>Record Drawings</t>
  </si>
  <si>
    <t xml:space="preserve"> LIFT STATION REHABILITATION - NEW 301 INDUSTRIAL PARK RTU 344 (Project No. 5156090)</t>
  </si>
  <si>
    <t xml:space="preserve"> LIFT STATION REHABILITATION - LAKEWOOD MEADOWS RTU 388 (Project No. 5156091)</t>
  </si>
  <si>
    <t xml:space="preserve"> LIFT STATION REHABILITATION - MOTE RANCH 3 RTU 398 (Project No. 5156092)</t>
  </si>
  <si>
    <t xml:space="preserve"> LIFT STATION REHABILITATION - 41A RTU 454 (Project No. 5156093)</t>
  </si>
  <si>
    <t xml:space="preserve"> LIFT STATION REHABILITATION - ARNOLD PALMER GREEN 1 RTU 689 (Project No. 5156094)</t>
  </si>
  <si>
    <t>Bidder must complete each tab for submission to be considered reponsive; sheet below will auto populate with totals.</t>
  </si>
  <si>
    <t>Subtotal Construction &amp; Generator Costs</t>
  </si>
  <si>
    <t xml:space="preserve">Bidders must provide prices for each available line item on each tab for their bid to be considered responsive. </t>
  </si>
  <si>
    <t>Generator Subtotal Construction Cost</t>
  </si>
  <si>
    <t>Total Construction Cost with a project completion of 270 calendar days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</si>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</sst>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##0%_);_(##0%\);_(* &quot; &quot;_);_(@_)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#\ &quot;in&quot;"/>
    <numFmt numFmtId="169" formatCode="0.0%"/>
    <numFmt numFmtId="170" formatCode="#\ &quot;GPM&quot;"/>
    <numFmt numFmtId="171" formatCode="#\ &quot;TDH&quot;"/>
    <numFmt numFmtId="172" formatCode="&quot;$&quot;#,##0.00"/>
  </numFmts>
  <fonts count="2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theme="1"/>
      <name val="Cambria"/>
      <family val="1"/>
    </font>
    <font>
      <sz val="10"/>
      <color theme="3"/>
      <name val="Cambria"/>
      <family val="1"/>
    </font>
    <font>
      <u/>
      <sz val="10"/>
      <name val="Cambria"/>
      <family val="1"/>
    </font>
    <font>
      <sz val="10"/>
      <color rgb="FFFF0000"/>
      <name val="Cambria"/>
      <family val="1"/>
    </font>
    <font>
      <sz val="12"/>
      <name val="Cambria"/>
      <family val="1"/>
    </font>
    <font>
      <sz val="10"/>
      <color indexed="8"/>
      <name val="Cambria"/>
      <family val="1"/>
    </font>
    <font>
      <sz val="9"/>
      <color theme="3"/>
      <name val="Cambria"/>
      <family val="1"/>
    </font>
    <font>
      <strike/>
      <sz val="10"/>
      <name val="Cambria"/>
      <family val="1"/>
    </font>
    <font>
      <i/>
      <sz val="10"/>
      <name val="Cambria"/>
      <family val="1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5" fillId="0" borderId="0"/>
  </cellStyleXfs>
  <cellXfs count="503">
    <xf numFmtId="0" fontId="0" fillId="0" borderId="0" xfId="0"/>
    <xf numFmtId="0" fontId="12" fillId="0" borderId="0" xfId="1" applyFont="1" applyProtection="1"/>
    <xf numFmtId="0" fontId="12" fillId="0" borderId="0" xfId="1" applyFont="1" applyAlignment="1" applyProtection="1">
      <alignment horizontal="center"/>
    </xf>
    <xf numFmtId="0" fontId="12" fillId="0" borderId="0" xfId="0" applyNumberFormat="1" applyFont="1" applyAlignment="1" applyProtection="1"/>
    <xf numFmtId="38" fontId="12" fillId="0" borderId="0" xfId="1" applyNumberFormat="1" applyFont="1" applyAlignment="1" applyProtection="1">
      <alignment horizontal="center"/>
    </xf>
    <xf numFmtId="40" fontId="12" fillId="0" borderId="0" xfId="1" applyNumberFormat="1" applyFont="1" applyAlignment="1" applyProtection="1"/>
    <xf numFmtId="40" fontId="12" fillId="0" borderId="0" xfId="1" applyNumberFormat="1" applyFont="1" applyAlignment="1" applyProtection="1">
      <alignment horizontal="center"/>
    </xf>
    <xf numFmtId="9" fontId="13" fillId="0" borderId="0" xfId="25" applyFont="1" applyBorder="1" applyAlignment="1" applyProtection="1">
      <alignment horizontal="center"/>
    </xf>
    <xf numFmtId="0" fontId="13" fillId="0" borderId="11" xfId="1" applyFont="1" applyBorder="1" applyAlignment="1" applyProtection="1">
      <alignment horizontal="center" vertical="top" wrapText="1"/>
    </xf>
    <xf numFmtId="0" fontId="13" fillId="0" borderId="19" xfId="1" applyFont="1" applyBorder="1" applyAlignment="1" applyProtection="1">
      <alignment horizontal="center" vertical="top" wrapText="1"/>
    </xf>
    <xf numFmtId="0" fontId="13" fillId="0" borderId="13" xfId="1" applyFont="1" applyBorder="1" applyAlignment="1" applyProtection="1">
      <alignment horizontal="center" vertical="top" wrapText="1"/>
    </xf>
    <xf numFmtId="0" fontId="13" fillId="0" borderId="17" xfId="1" applyFont="1" applyBorder="1" applyAlignment="1" applyProtection="1">
      <alignment wrapText="1"/>
    </xf>
    <xf numFmtId="0" fontId="12" fillId="0" borderId="2" xfId="1" applyFont="1" applyBorder="1" applyAlignment="1" applyProtection="1">
      <alignment horizontal="center" wrapText="1"/>
    </xf>
    <xf numFmtId="0" fontId="12" fillId="0" borderId="1" xfId="1" applyFont="1" applyBorder="1" applyAlignment="1" applyProtection="1">
      <alignment horizontal="center"/>
    </xf>
    <xf numFmtId="0" fontId="12" fillId="0" borderId="2" xfId="23" applyFont="1" applyBorder="1" applyAlignment="1" applyProtection="1">
      <alignment horizontal="center" vertical="center"/>
    </xf>
    <xf numFmtId="0" fontId="12" fillId="0" borderId="2" xfId="23" applyNumberFormat="1" applyFont="1" applyFill="1" applyBorder="1" applyAlignment="1" applyProtection="1">
      <alignment horizontal="center" vertical="center"/>
    </xf>
    <xf numFmtId="4" fontId="14" fillId="0" borderId="2" xfId="24" applyNumberFormat="1" applyFont="1" applyBorder="1" applyAlignment="1">
      <alignment horizontal="center"/>
    </xf>
    <xf numFmtId="165" fontId="12" fillId="0" borderId="0" xfId="23" applyNumberFormat="1" applyFont="1" applyFill="1" applyBorder="1" applyAlignment="1" applyProtection="1">
      <alignment horizontal="center"/>
    </xf>
    <xf numFmtId="38" fontId="12" fillId="0" borderId="2" xfId="23" applyNumberFormat="1" applyFont="1" applyFill="1" applyBorder="1" applyAlignment="1" applyProtection="1">
      <alignment horizontal="center" vertical="center"/>
    </xf>
    <xf numFmtId="165" fontId="12" fillId="0" borderId="0" xfId="23" applyNumberFormat="1" applyFont="1" applyBorder="1" applyAlignment="1" applyProtection="1">
      <alignment horizontal="center"/>
    </xf>
    <xf numFmtId="4" fontId="14" fillId="0" borderId="20" xfId="15" applyNumberFormat="1" applyFont="1" applyBorder="1" applyAlignment="1">
      <alignment horizontal="center"/>
    </xf>
    <xf numFmtId="0" fontId="12" fillId="0" borderId="2" xfId="1" applyFont="1" applyBorder="1" applyAlignment="1" applyProtection="1">
      <alignment horizontal="center"/>
    </xf>
    <xf numFmtId="40" fontId="12" fillId="0" borderId="2" xfId="1" applyNumberFormat="1" applyFont="1" applyBorder="1" applyAlignment="1" applyProtection="1"/>
    <xf numFmtId="165" fontId="12" fillId="0" borderId="0" xfId="1" applyNumberFormat="1" applyFont="1" applyBorder="1" applyAlignment="1" applyProtection="1">
      <alignment horizontal="center"/>
    </xf>
    <xf numFmtId="40" fontId="13" fillId="0" borderId="0" xfId="1" applyNumberFormat="1" applyFont="1" applyBorder="1" applyAlignment="1" applyProtection="1"/>
    <xf numFmtId="38" fontId="12" fillId="0" borderId="20" xfId="23" applyNumberFormat="1" applyFont="1" applyFill="1" applyBorder="1" applyAlignment="1" applyProtection="1">
      <alignment horizontal="center" vertical="center"/>
    </xf>
    <xf numFmtId="0" fontId="15" fillId="0" borderId="2" xfId="1" applyNumberFormat="1" applyFont="1" applyBorder="1" applyAlignment="1" applyProtection="1">
      <alignment horizontal="center"/>
    </xf>
    <xf numFmtId="40" fontId="12" fillId="0" borderId="0" xfId="1" applyNumberFormat="1" applyFont="1" applyBorder="1" applyAlignment="1" applyProtection="1"/>
    <xf numFmtId="0" fontId="12" fillId="0" borderId="4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5" xfId="1" applyNumberFormat="1" applyFont="1" applyBorder="1" applyAlignment="1" applyProtection="1">
      <alignment horizontal="center"/>
    </xf>
    <xf numFmtId="4" fontId="12" fillId="0" borderId="6" xfId="1" applyNumberFormat="1" applyFont="1" applyBorder="1" applyAlignment="1" applyProtection="1">
      <alignment horizontal="right"/>
    </xf>
    <xf numFmtId="0" fontId="12" fillId="0" borderId="30" xfId="1" applyFont="1" applyBorder="1" applyAlignment="1" applyProtection="1">
      <alignment horizontal="center"/>
    </xf>
    <xf numFmtId="0" fontId="12" fillId="0" borderId="27" xfId="1" applyFont="1" applyBorder="1" applyAlignment="1" applyProtection="1">
      <alignment horizontal="center"/>
    </xf>
    <xf numFmtId="9" fontId="12" fillId="0" borderId="27" xfId="25" applyFont="1" applyBorder="1" applyAlignment="1" applyProtection="1">
      <alignment horizontal="center"/>
    </xf>
    <xf numFmtId="4" fontId="12" fillId="0" borderId="27" xfId="1" applyNumberFormat="1" applyFont="1" applyBorder="1" applyAlignment="1" applyProtection="1">
      <alignment horizontal="right"/>
    </xf>
    <xf numFmtId="9" fontId="12" fillId="0" borderId="2" xfId="25" applyFont="1" applyBorder="1" applyAlignment="1" applyProtection="1">
      <alignment horizontal="center"/>
    </xf>
    <xf numFmtId="4" fontId="12" fillId="0" borderId="2" xfId="1" applyNumberFormat="1" applyFont="1" applyBorder="1" applyAlignment="1" applyProtection="1">
      <alignment horizontal="right"/>
    </xf>
    <xf numFmtId="0" fontId="16" fillId="0" borderId="0" xfId="1" applyFont="1" applyAlignment="1" applyProtection="1">
      <alignment horizontal="center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horizontal="right"/>
    </xf>
    <xf numFmtId="166" fontId="12" fillId="0" borderId="0" xfId="1" applyNumberFormat="1" applyFont="1" applyFill="1" applyAlignment="1" applyProtection="1">
      <alignment horizontal="center"/>
    </xf>
    <xf numFmtId="40" fontId="12" fillId="0" borderId="0" xfId="1" applyNumberFormat="1" applyFont="1" applyFill="1" applyAlignment="1" applyProtection="1"/>
    <xf numFmtId="40" fontId="12" fillId="0" borderId="0" xfId="1" applyNumberFormat="1" applyFont="1" applyFill="1" applyAlignment="1" applyProtection="1">
      <alignment horizontal="center"/>
    </xf>
    <xf numFmtId="0" fontId="12" fillId="0" borderId="0" xfId="1" applyNumberFormat="1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/>
    </xf>
    <xf numFmtId="38" fontId="12" fillId="0" borderId="0" xfId="1" applyNumberFormat="1" applyFont="1" applyFill="1" applyAlignment="1" applyProtection="1">
      <alignment horizontal="center"/>
    </xf>
    <xf numFmtId="0" fontId="12" fillId="0" borderId="0" xfId="0" applyFont="1" applyFill="1"/>
    <xf numFmtId="168" fontId="12" fillId="0" borderId="0" xfId="23" applyNumberFormat="1" applyFont="1" applyFill="1" applyBorder="1" applyAlignment="1" applyProtection="1">
      <alignment vertical="center"/>
    </xf>
    <xf numFmtId="38" fontId="12" fillId="0" borderId="0" xfId="23" applyNumberFormat="1" applyFont="1" applyFill="1" applyBorder="1" applyAlignment="1" applyProtection="1">
      <alignment horizontal="center" vertical="center"/>
    </xf>
    <xf numFmtId="43" fontId="12" fillId="0" borderId="0" xfId="0" applyNumberFormat="1" applyFont="1" applyFill="1" applyBorder="1" applyAlignment="1">
      <alignment horizontal="center" vertical="center"/>
    </xf>
    <xf numFmtId="43" fontId="12" fillId="0" borderId="0" xfId="23" applyNumberFormat="1" applyFont="1" applyFill="1" applyBorder="1" applyAlignment="1" applyProtection="1"/>
    <xf numFmtId="168" fontId="15" fillId="0" borderId="0" xfId="3" applyNumberFormat="1" applyFont="1" applyFill="1" applyBorder="1" applyAlignment="1" applyProtection="1">
      <alignment horizontal="center" vertical="center"/>
    </xf>
    <xf numFmtId="38" fontId="12" fillId="0" borderId="0" xfId="23" applyNumberFormat="1" applyFont="1" applyFill="1" applyBorder="1" applyAlignment="1" applyProtection="1">
      <alignment horizontal="left" vertical="center"/>
    </xf>
    <xf numFmtId="0" fontId="15" fillId="0" borderId="0" xfId="3" applyNumberFormat="1" applyFont="1" applyFill="1" applyBorder="1" applyAlignment="1" applyProtection="1">
      <alignment horizontal="center" vertical="center"/>
    </xf>
    <xf numFmtId="40" fontId="19" fillId="0" borderId="0" xfId="23" applyNumberFormat="1" applyFont="1" applyFill="1" applyBorder="1" applyAlignment="1" applyProtection="1"/>
    <xf numFmtId="0" fontId="15" fillId="0" borderId="2" xfId="3" applyNumberFormat="1" applyFont="1" applyFill="1" applyBorder="1" applyAlignment="1" applyProtection="1">
      <alignment horizontal="center" vertical="center"/>
    </xf>
    <xf numFmtId="0" fontId="12" fillId="0" borderId="2" xfId="3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Protection="1"/>
    <xf numFmtId="0" fontId="13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8" fontId="12" fillId="0" borderId="0" xfId="1" applyNumberFormat="1" applyFont="1" applyFill="1" applyBorder="1" applyAlignment="1" applyProtection="1">
      <alignment horizontal="center"/>
    </xf>
    <xf numFmtId="40" fontId="12" fillId="0" borderId="0" xfId="1" applyNumberFormat="1" applyFont="1" applyFill="1" applyBorder="1" applyAlignment="1" applyProtection="1"/>
    <xf numFmtId="0" fontId="13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Continuous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23" applyFont="1" applyFill="1" applyBorder="1" applyAlignment="1" applyProtection="1">
      <alignment horizontal="left" vertical="center"/>
    </xf>
    <xf numFmtId="0" fontId="12" fillId="0" borderId="0" xfId="23" applyFont="1" applyFill="1" applyBorder="1" applyAlignment="1" applyProtection="1">
      <alignment horizontal="center" vertical="center"/>
    </xf>
    <xf numFmtId="0" fontId="13" fillId="0" borderId="0" xfId="1" applyFont="1" applyFill="1" applyBorder="1" applyProtection="1"/>
    <xf numFmtId="40" fontId="13" fillId="0" borderId="0" xfId="1" applyNumberFormat="1" applyFont="1" applyFill="1" applyBorder="1" applyAlignment="1" applyProtection="1"/>
    <xf numFmtId="9" fontId="12" fillId="0" borderId="0" xfId="1" applyNumberFormat="1" applyFont="1" applyFill="1" applyBorder="1" applyAlignment="1" applyProtection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/>
    <xf numFmtId="164" fontId="12" fillId="0" borderId="0" xfId="1" applyNumberFormat="1" applyFont="1" applyFill="1" applyBorder="1" applyAlignment="1" applyProtection="1">
      <alignment horizontal="center"/>
    </xf>
    <xf numFmtId="0" fontId="15" fillId="0" borderId="2" xfId="1" applyNumberFormat="1" applyFont="1" applyFill="1" applyBorder="1" applyAlignment="1" applyProtection="1">
      <alignment horizontal="center"/>
    </xf>
    <xf numFmtId="3" fontId="14" fillId="0" borderId="2" xfId="24" applyNumberFormat="1" applyFont="1" applyFill="1" applyBorder="1" applyAlignment="1">
      <alignment horizontal="center"/>
    </xf>
    <xf numFmtId="0" fontId="12" fillId="0" borderId="2" xfId="1" applyFont="1" applyFill="1" applyBorder="1" applyAlignment="1" applyProtection="1">
      <alignment horizontal="center"/>
    </xf>
    <xf numFmtId="0" fontId="13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/>
    <xf numFmtId="0" fontId="12" fillId="0" borderId="0" xfId="1" applyFont="1" applyFill="1" applyAlignment="1" applyProtection="1">
      <alignment horizontal="center" vertical="top" wrapText="1"/>
    </xf>
    <xf numFmtId="0" fontId="13" fillId="0" borderId="25" xfId="1" applyFont="1" applyFill="1" applyBorder="1" applyAlignment="1" applyProtection="1">
      <alignment horizontal="center" vertical="top" wrapText="1"/>
    </xf>
    <xf numFmtId="0" fontId="13" fillId="0" borderId="19" xfId="1" applyFont="1" applyFill="1" applyBorder="1" applyAlignment="1" applyProtection="1">
      <alignment horizontal="center" vertical="top" wrapText="1"/>
    </xf>
    <xf numFmtId="38" fontId="13" fillId="0" borderId="19" xfId="1" applyNumberFormat="1" applyFont="1" applyFill="1" applyBorder="1" applyAlignment="1" applyProtection="1">
      <alignment horizontal="center" vertical="top" wrapText="1"/>
    </xf>
    <xf numFmtId="40" fontId="13" fillId="0" borderId="19" xfId="1" applyNumberFormat="1" applyFont="1" applyFill="1" applyBorder="1" applyAlignment="1" applyProtection="1">
      <alignment horizontal="center" vertical="top" wrapText="1"/>
    </xf>
    <xf numFmtId="40" fontId="13" fillId="0" borderId="26" xfId="1" applyNumberFormat="1" applyFont="1" applyFill="1" applyBorder="1" applyAlignment="1" applyProtection="1">
      <alignment horizontal="center" vertical="top" wrapText="1"/>
    </xf>
    <xf numFmtId="0" fontId="12" fillId="0" borderId="1" xfId="1" applyFont="1" applyFill="1" applyBorder="1" applyAlignment="1" applyProtection="1">
      <alignment horizontal="center"/>
    </xf>
    <xf numFmtId="0" fontId="12" fillId="0" borderId="2" xfId="23" applyFont="1" applyFill="1" applyBorder="1" applyAlignment="1" applyProtection="1">
      <alignment horizontal="center" vertical="center"/>
    </xf>
    <xf numFmtId="0" fontId="18" fillId="0" borderId="0" xfId="0" applyFont="1" applyFill="1"/>
    <xf numFmtId="0" fontId="12" fillId="0" borderId="0" xfId="1" applyFont="1" applyFill="1" applyBorder="1" applyAlignment="1" applyProtection="1">
      <alignment horizontal="left"/>
    </xf>
    <xf numFmtId="1" fontId="14" fillId="0" borderId="0" xfId="14" applyNumberFormat="1" applyFont="1" applyFill="1" applyBorder="1" applyAlignment="1">
      <alignment horizontal="center"/>
    </xf>
    <xf numFmtId="0" fontId="18" fillId="0" borderId="0" xfId="0" applyFont="1" applyFill="1" applyBorder="1"/>
    <xf numFmtId="1" fontId="12" fillId="0" borderId="0" xfId="1" applyNumberFormat="1" applyFont="1" applyFill="1" applyBorder="1" applyAlignment="1" applyProtection="1">
      <alignment horizontal="center"/>
    </xf>
    <xf numFmtId="1" fontId="14" fillId="0" borderId="0" xfId="31" applyNumberFormat="1" applyFont="1" applyFill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/>
    </xf>
    <xf numFmtId="38" fontId="12" fillId="0" borderId="0" xfId="16" applyNumberFormat="1" applyFont="1" applyFill="1" applyBorder="1"/>
    <xf numFmtId="38" fontId="12" fillId="0" borderId="2" xfId="1" applyNumberFormat="1" applyFont="1" applyFill="1" applyBorder="1" applyAlignment="1" applyProtection="1">
      <alignment horizontal="center"/>
    </xf>
    <xf numFmtId="0" fontId="12" fillId="0" borderId="0" xfId="1" quotePrefix="1" applyFont="1" applyFill="1" applyProtection="1"/>
    <xf numFmtId="0" fontId="12" fillId="0" borderId="20" xfId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/>
    </xf>
    <xf numFmtId="0" fontId="12" fillId="0" borderId="5" xfId="1" applyNumberFormat="1" applyFont="1" applyFill="1" applyBorder="1" applyAlignment="1" applyProtection="1">
      <alignment horizontal="center"/>
    </xf>
    <xf numFmtId="0" fontId="12" fillId="0" borderId="27" xfId="1" applyFont="1" applyFill="1" applyBorder="1" applyAlignment="1" applyProtection="1">
      <alignment horizontal="center"/>
    </xf>
    <xf numFmtId="9" fontId="12" fillId="0" borderId="0" xfId="6" applyFont="1" applyFill="1" applyAlignment="1" applyProtection="1">
      <alignment horizontal="center"/>
    </xf>
    <xf numFmtId="4" fontId="12" fillId="0" borderId="2" xfId="1" applyNumberFormat="1" applyFont="1" applyFill="1" applyBorder="1" applyAlignment="1" applyProtection="1">
      <alignment horizontal="right"/>
    </xf>
    <xf numFmtId="169" fontId="12" fillId="0" borderId="0" xfId="6" applyNumberFormat="1" applyFont="1" applyFill="1" applyAlignment="1" applyProtection="1">
      <alignment horizontal="center"/>
    </xf>
    <xf numFmtId="9" fontId="12" fillId="0" borderId="17" xfId="1" applyNumberFormat="1" applyFont="1" applyFill="1" applyBorder="1" applyAlignment="1" applyProtection="1">
      <alignment horizontal="center"/>
    </xf>
    <xf numFmtId="4" fontId="12" fillId="0" borderId="6" xfId="1" applyNumberFormat="1" applyFont="1" applyFill="1" applyBorder="1" applyAlignment="1" applyProtection="1">
      <alignment horizontal="right"/>
    </xf>
    <xf numFmtId="0" fontId="16" fillId="0" borderId="0" xfId="1" applyFont="1" applyFill="1" applyAlignment="1" applyProtection="1">
      <alignment horizontal="center"/>
    </xf>
    <xf numFmtId="0" fontId="12" fillId="0" borderId="0" xfId="4" applyFont="1" applyFill="1"/>
    <xf numFmtId="40" fontId="15" fillId="0" borderId="0" xfId="1" applyNumberFormat="1" applyFont="1" applyFill="1" applyAlignment="1" applyProtection="1">
      <alignment horizontal="center"/>
    </xf>
    <xf numFmtId="4" fontId="15" fillId="0" borderId="0" xfId="1" applyNumberFormat="1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 wrapText="1"/>
    </xf>
    <xf numFmtId="0" fontId="18" fillId="0" borderId="0" xfId="0" applyFont="1" applyFill="1" applyAlignment="1">
      <alignment wrapText="1"/>
    </xf>
    <xf numFmtId="38" fontId="15" fillId="0" borderId="0" xfId="1" applyNumberFormat="1" applyFont="1" applyFill="1" applyAlignment="1" applyProtection="1">
      <alignment horizontal="center"/>
    </xf>
    <xf numFmtId="40" fontId="12" fillId="0" borderId="0" xfId="1" applyNumberFormat="1" applyFont="1" applyFill="1" applyAlignment="1" applyProtection="1">
      <alignment horizontal="left"/>
    </xf>
    <xf numFmtId="0" fontId="13" fillId="0" borderId="11" xfId="1" applyFont="1" applyFill="1" applyBorder="1" applyAlignment="1" applyProtection="1">
      <alignment horizontal="center" vertical="top" wrapText="1"/>
    </xf>
    <xf numFmtId="0" fontId="13" fillId="0" borderId="13" xfId="1" applyFont="1" applyFill="1" applyBorder="1" applyAlignment="1" applyProtection="1">
      <alignment horizontal="center" vertical="top" wrapText="1"/>
    </xf>
    <xf numFmtId="38" fontId="12" fillId="0" borderId="5" xfId="1" applyNumberFormat="1" applyFont="1" applyFill="1" applyBorder="1" applyAlignment="1" applyProtection="1">
      <alignment horizontal="center"/>
    </xf>
    <xf numFmtId="0" fontId="12" fillId="0" borderId="14" xfId="1" applyFont="1" applyFill="1" applyBorder="1" applyAlignment="1" applyProtection="1">
      <alignment horizontal="center"/>
    </xf>
    <xf numFmtId="0" fontId="12" fillId="0" borderId="15" xfId="1" applyFont="1" applyFill="1" applyBorder="1" applyAlignment="1" applyProtection="1">
      <alignment horizontal="center"/>
    </xf>
    <xf numFmtId="0" fontId="17" fillId="0" borderId="0" xfId="1" applyFont="1" applyFill="1" applyProtection="1"/>
    <xf numFmtId="0" fontId="12" fillId="0" borderId="30" xfId="1" applyFont="1" applyFill="1" applyBorder="1" applyAlignment="1" applyProtection="1">
      <alignment horizontal="center"/>
    </xf>
    <xf numFmtId="164" fontId="12" fillId="0" borderId="0" xfId="1" applyNumberFormat="1" applyFont="1" applyFill="1" applyBorder="1" applyAlignment="1" applyProtection="1">
      <alignment horizontal="left"/>
    </xf>
    <xf numFmtId="38" fontId="12" fillId="0" borderId="0" xfId="1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>
      <alignment vertical="center" wrapText="1"/>
    </xf>
    <xf numFmtId="0" fontId="12" fillId="0" borderId="0" xfId="2" applyFont="1" applyFill="1"/>
    <xf numFmtId="38" fontId="12" fillId="0" borderId="31" xfId="23" applyNumberFormat="1" applyFont="1" applyFill="1" applyBorder="1" applyAlignment="1" applyProtection="1">
      <alignment horizontal="left" vertical="center"/>
    </xf>
    <xf numFmtId="38" fontId="12" fillId="0" borderId="32" xfId="23" applyNumberFormat="1" applyFont="1" applyFill="1" applyBorder="1" applyAlignment="1" applyProtection="1">
      <alignment horizontal="left" vertical="center"/>
    </xf>
    <xf numFmtId="0" fontId="15" fillId="0" borderId="20" xfId="23" applyNumberFormat="1" applyFont="1" applyFill="1" applyBorder="1" applyAlignment="1" applyProtection="1">
      <alignment horizontal="center" vertical="center"/>
    </xf>
    <xf numFmtId="0" fontId="15" fillId="0" borderId="20" xfId="1" applyNumberFormat="1" applyFont="1" applyFill="1" applyBorder="1" applyAlignment="1" applyProtection="1">
      <alignment horizontal="center"/>
    </xf>
    <xf numFmtId="170" fontId="15" fillId="0" borderId="0" xfId="1" applyNumberFormat="1" applyFont="1" applyFill="1" applyAlignment="1" applyProtection="1">
      <alignment horizontal="right"/>
    </xf>
    <xf numFmtId="0" fontId="15" fillId="0" borderId="0" xfId="1" applyFont="1" applyFill="1" applyAlignment="1" applyProtection="1">
      <alignment horizontal="center"/>
    </xf>
    <xf numFmtId="171" fontId="15" fillId="0" borderId="0" xfId="1" applyNumberFormat="1" applyFont="1" applyFill="1" applyAlignment="1" applyProtection="1">
      <alignment horizontal="left"/>
    </xf>
    <xf numFmtId="44" fontId="12" fillId="0" borderId="16" xfId="30" applyFont="1" applyFill="1" applyBorder="1" applyAlignment="1" applyProtection="1">
      <alignment horizontal="right"/>
    </xf>
    <xf numFmtId="44" fontId="13" fillId="0" borderId="7" xfId="30" applyFont="1" applyFill="1" applyBorder="1" applyAlignment="1" applyProtection="1">
      <alignment horizontal="right"/>
    </xf>
    <xf numFmtId="44" fontId="12" fillId="0" borderId="8" xfId="30" applyFont="1" applyFill="1" applyBorder="1" applyAlignment="1" applyProtection="1">
      <alignment horizontal="right"/>
    </xf>
    <xf numFmtId="44" fontId="12" fillId="0" borderId="3" xfId="30" applyFont="1" applyFill="1" applyBorder="1" applyAlignment="1" applyProtection="1">
      <alignment horizontal="right"/>
    </xf>
    <xf numFmtId="44" fontId="12" fillId="0" borderId="28" xfId="30" applyFont="1" applyFill="1" applyBorder="1" applyAlignment="1" applyProtection="1">
      <alignment horizontal="right"/>
    </xf>
    <xf numFmtId="44" fontId="13" fillId="0" borderId="7" xfId="30" applyFont="1" applyBorder="1" applyAlignment="1" applyProtection="1">
      <alignment horizontal="right"/>
    </xf>
    <xf numFmtId="44" fontId="12" fillId="0" borderId="29" xfId="30" applyFont="1" applyBorder="1" applyAlignment="1" applyProtection="1">
      <alignment horizontal="right"/>
    </xf>
    <xf numFmtId="44" fontId="12" fillId="0" borderId="28" xfId="30" applyFont="1" applyBorder="1" applyAlignment="1" applyProtection="1">
      <alignment horizontal="right"/>
    </xf>
    <xf numFmtId="0" fontId="18" fillId="0" borderId="0" xfId="0" applyFont="1" applyBorder="1"/>
    <xf numFmtId="1" fontId="14" fillId="0" borderId="0" xfId="53" applyNumberFormat="1" applyFont="1" applyBorder="1" applyAlignment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35" xfId="1" applyFont="1" applyBorder="1" applyAlignment="1" applyProtection="1">
      <alignment horizontal="center"/>
    </xf>
    <xf numFmtId="0" fontId="12" fillId="0" borderId="35" xfId="1" applyNumberFormat="1" applyFont="1" applyBorder="1" applyAlignment="1" applyProtection="1">
      <alignment horizontal="center"/>
    </xf>
    <xf numFmtId="4" fontId="12" fillId="0" borderId="33" xfId="1" applyNumberFormat="1" applyFont="1" applyBorder="1" applyAlignment="1" applyProtection="1">
      <alignment horizontal="right"/>
    </xf>
    <xf numFmtId="0" fontId="12" fillId="0" borderId="2" xfId="1" applyFont="1" applyBorder="1" applyProtection="1"/>
    <xf numFmtId="0" fontId="12" fillId="0" borderId="10" xfId="1" applyFont="1" applyBorder="1" applyProtection="1"/>
    <xf numFmtId="0" fontId="12" fillId="0" borderId="23" xfId="1" applyFont="1" applyBorder="1" applyAlignment="1" applyProtection="1">
      <alignment horizontal="center"/>
    </xf>
    <xf numFmtId="0" fontId="12" fillId="0" borderId="23" xfId="1" applyFont="1" applyBorder="1" applyProtection="1"/>
    <xf numFmtId="44" fontId="12" fillId="0" borderId="28" xfId="30" applyNumberFormat="1" applyFont="1" applyFill="1" applyBorder="1" applyAlignment="1" applyProtection="1">
      <alignment horizontal="right"/>
    </xf>
    <xf numFmtId="44" fontId="13" fillId="0" borderId="7" xfId="30" applyNumberFormat="1" applyFont="1" applyFill="1" applyBorder="1" applyAlignment="1" applyProtection="1">
      <alignment horizontal="right"/>
    </xf>
    <xf numFmtId="44" fontId="12" fillId="0" borderId="8" xfId="30" applyNumberFormat="1" applyFont="1" applyFill="1" applyBorder="1" applyAlignment="1" applyProtection="1">
      <alignment horizontal="right"/>
    </xf>
    <xf numFmtId="44" fontId="12" fillId="0" borderId="3" xfId="30" applyNumberFormat="1" applyFont="1" applyFill="1" applyBorder="1" applyAlignment="1" applyProtection="1">
      <alignment horizontal="right"/>
    </xf>
    <xf numFmtId="8" fontId="14" fillId="0" borderId="2" xfId="30" applyNumberFormat="1" applyFont="1" applyFill="1" applyBorder="1" applyAlignment="1">
      <alignment horizontal="right"/>
    </xf>
    <xf numFmtId="8" fontId="14" fillId="0" borderId="20" xfId="30" applyNumberFormat="1" applyFont="1" applyFill="1" applyBorder="1" applyAlignment="1">
      <alignment horizontal="right"/>
    </xf>
    <xf numFmtId="168" fontId="15" fillId="0" borderId="0" xfId="23" applyNumberFormat="1" applyFont="1" applyFill="1" applyBorder="1" applyAlignment="1" applyProtection="1">
      <alignment horizontal="center" vertical="center"/>
    </xf>
    <xf numFmtId="1" fontId="14" fillId="0" borderId="0" xfId="56" applyNumberFormat="1" applyFont="1" applyFill="1" applyBorder="1" applyAlignment="1">
      <alignment horizontal="center"/>
    </xf>
    <xf numFmtId="0" fontId="15" fillId="0" borderId="0" xfId="23" applyNumberFormat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/>
    </xf>
    <xf numFmtId="167" fontId="12" fillId="0" borderId="0" xfId="29" applyNumberFormat="1" applyFont="1" applyFill="1" applyProtection="1"/>
    <xf numFmtId="0" fontId="12" fillId="0" borderId="1" xfId="1" applyFont="1" applyFill="1" applyBorder="1" applyAlignment="1" applyProtection="1">
      <alignment horizontal="right"/>
    </xf>
    <xf numFmtId="38" fontId="12" fillId="2" borderId="2" xfId="23" applyNumberFormat="1" applyFont="1" applyFill="1" applyBorder="1" applyAlignment="1" applyProtection="1">
      <alignment horizontal="center" vertical="center"/>
    </xf>
    <xf numFmtId="0" fontId="12" fillId="2" borderId="2" xfId="1" applyNumberFormat="1" applyFont="1" applyFill="1" applyBorder="1" applyAlignment="1" applyProtection="1">
      <alignment horizontal="center"/>
    </xf>
    <xf numFmtId="8" fontId="14" fillId="2" borderId="2" xfId="30" applyNumberFormat="1" applyFont="1" applyFill="1" applyBorder="1" applyAlignment="1">
      <alignment horizontal="right"/>
    </xf>
    <xf numFmtId="44" fontId="12" fillId="2" borderId="28" xfId="30" applyNumberFormat="1" applyFont="1" applyFill="1" applyBorder="1" applyAlignment="1" applyProtection="1">
      <alignment horizontal="right"/>
    </xf>
    <xf numFmtId="4" fontId="14" fillId="2" borderId="2" xfId="24" applyNumberFormat="1" applyFont="1" applyFill="1" applyBorder="1" applyAlignment="1">
      <alignment horizontal="center"/>
    </xf>
    <xf numFmtId="44" fontId="12" fillId="2" borderId="28" xfId="30" applyFont="1" applyFill="1" applyBorder="1" applyAlignment="1" applyProtection="1">
      <alignment horizontal="right"/>
    </xf>
    <xf numFmtId="44" fontId="12" fillId="2" borderId="16" xfId="30" applyFont="1" applyFill="1" applyBorder="1" applyAlignment="1" applyProtection="1">
      <alignment horizontal="right"/>
    </xf>
    <xf numFmtId="166" fontId="12" fillId="0" borderId="2" xfId="23" applyNumberFormat="1" applyFont="1" applyFill="1" applyBorder="1" applyAlignment="1" applyProtection="1">
      <alignment horizontal="center" vertical="center"/>
    </xf>
    <xf numFmtId="44" fontId="12" fillId="0" borderId="16" xfId="30" applyNumberFormat="1" applyFont="1" applyFill="1" applyBorder="1" applyAlignment="1" applyProtection="1">
      <alignment horizontal="right"/>
    </xf>
    <xf numFmtId="0" fontId="12" fillId="0" borderId="0" xfId="23" applyNumberFormat="1" applyFont="1" applyFill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 wrapText="1"/>
    </xf>
    <xf numFmtId="0" fontId="12" fillId="0" borderId="0" xfId="0" applyFont="1" applyFill="1" applyBorder="1"/>
    <xf numFmtId="0" fontId="17" fillId="0" borderId="0" xfId="1" applyFont="1" applyFill="1" applyAlignment="1" applyProtection="1">
      <alignment horizontal="center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0" fontId="12" fillId="0" borderId="10" xfId="1" applyFont="1" applyBorder="1" applyAlignment="1" applyProtection="1">
      <alignment horizontal="left"/>
    </xf>
    <xf numFmtId="0" fontId="12" fillId="0" borderId="23" xfId="1" applyFont="1" applyBorder="1" applyAlignment="1" applyProtection="1">
      <alignment horizontal="left"/>
    </xf>
    <xf numFmtId="0" fontId="12" fillId="0" borderId="10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38" fontId="12" fillId="0" borderId="10" xfId="23" applyNumberFormat="1" applyFont="1" applyFill="1" applyBorder="1" applyAlignment="1" applyProtection="1">
      <alignment vertical="center"/>
    </xf>
    <xf numFmtId="38" fontId="12" fillId="0" borderId="23" xfId="23" applyNumberFormat="1" applyFont="1" applyFill="1" applyBorder="1" applyAlignment="1" applyProtection="1">
      <alignment vertical="center"/>
    </xf>
    <xf numFmtId="38" fontId="12" fillId="0" borderId="10" xfId="16" applyNumberFormat="1" applyFont="1" applyFill="1" applyBorder="1" applyAlignment="1">
      <alignment horizontal="left"/>
    </xf>
    <xf numFmtId="38" fontId="12" fillId="0" borderId="23" xfId="16" applyNumberFormat="1" applyFont="1" applyFill="1" applyBorder="1" applyAlignment="1">
      <alignment horizontal="left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0" fontId="12" fillId="0" borderId="10" xfId="1" applyFont="1" applyFill="1" applyBorder="1" applyProtection="1"/>
    <xf numFmtId="0" fontId="12" fillId="0" borderId="23" xfId="1" applyFont="1" applyFill="1" applyBorder="1" applyProtection="1"/>
    <xf numFmtId="0" fontId="12" fillId="0" borderId="31" xfId="1" applyFont="1" applyBorder="1" applyProtection="1"/>
    <xf numFmtId="0" fontId="12" fillId="0" borderId="32" xfId="1" applyFont="1" applyBorder="1" applyProtection="1"/>
    <xf numFmtId="0" fontId="12" fillId="0" borderId="20" xfId="1" applyFont="1" applyBorder="1" applyAlignment="1" applyProtection="1">
      <alignment horizontal="center"/>
    </xf>
    <xf numFmtId="38" fontId="12" fillId="0" borderId="23" xfId="23" applyNumberFormat="1" applyFont="1" applyFill="1" applyBorder="1" applyAlignment="1" applyProtection="1">
      <alignment horizontal="center" vertical="center"/>
    </xf>
    <xf numFmtId="0" fontId="12" fillId="0" borderId="0" xfId="1" applyFont="1" applyBorder="1" applyProtection="1"/>
    <xf numFmtId="165" fontId="12" fillId="0" borderId="0" xfId="1" applyNumberFormat="1" applyFont="1" applyFill="1" applyBorder="1" applyProtection="1"/>
    <xf numFmtId="0" fontId="12" fillId="0" borderId="0" xfId="1" quotePrefix="1" applyFont="1" applyFill="1" applyBorder="1" applyProtection="1"/>
    <xf numFmtId="0" fontId="15" fillId="0" borderId="0" xfId="1" applyNumberFormat="1" applyFont="1" applyFill="1" applyBorder="1" applyAlignment="1" applyProtection="1">
      <alignment horizontal="center"/>
    </xf>
    <xf numFmtId="167" fontId="12" fillId="0" borderId="0" xfId="29" applyNumberFormat="1" applyFont="1" applyFill="1" applyBorder="1" applyProtection="1"/>
    <xf numFmtId="9" fontId="12" fillId="0" borderId="2" xfId="6" applyFont="1" applyFill="1" applyBorder="1" applyAlignment="1" applyProtection="1">
      <alignment horizontal="center"/>
    </xf>
    <xf numFmtId="38" fontId="12" fillId="0" borderId="36" xfId="23" applyNumberFormat="1" applyFont="1" applyFill="1" applyBorder="1" applyAlignment="1" applyProtection="1">
      <alignment horizontal="left" vertical="center"/>
    </xf>
    <xf numFmtId="0" fontId="12" fillId="0" borderId="0" xfId="4" applyFont="1" applyFill="1" applyAlignment="1">
      <alignment horizontal="left"/>
    </xf>
    <xf numFmtId="0" fontId="12" fillId="0" borderId="0" xfId="1" applyFont="1" applyFill="1" applyAlignment="1" applyProtection="1">
      <alignment horizontal="left"/>
    </xf>
    <xf numFmtId="0" fontId="12" fillId="0" borderId="0" xfId="1" applyFont="1" applyFill="1" applyAlignment="1" applyProtection="1">
      <alignment horizontal="right" wrapText="1"/>
    </xf>
    <xf numFmtId="0" fontId="18" fillId="0" borderId="0" xfId="0" applyFont="1" applyFill="1" applyAlignment="1">
      <alignment horizontal="right"/>
    </xf>
    <xf numFmtId="170" fontId="20" fillId="0" borderId="0" xfId="1" applyNumberFormat="1" applyFont="1" applyFill="1" applyAlignment="1" applyProtection="1">
      <alignment horizontal="right"/>
    </xf>
    <xf numFmtId="3" fontId="12" fillId="0" borderId="0" xfId="1" applyNumberFormat="1" applyFont="1" applyAlignment="1">
      <alignment horizontal="center"/>
    </xf>
    <xf numFmtId="3" fontId="12" fillId="0" borderId="2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38" fontId="12" fillId="0" borderId="10" xfId="16" quotePrefix="1" applyNumberFormat="1" applyFont="1" applyFill="1" applyBorder="1" applyAlignment="1">
      <alignment horizontal="left"/>
    </xf>
    <xf numFmtId="0" fontId="12" fillId="0" borderId="10" xfId="1" applyFont="1" applyBorder="1" applyAlignment="1">
      <alignment horizontal="left"/>
    </xf>
    <xf numFmtId="0" fontId="12" fillId="0" borderId="23" xfId="1" applyFont="1" applyBorder="1" applyAlignment="1">
      <alignment horizontal="left"/>
    </xf>
    <xf numFmtId="0" fontId="15" fillId="0" borderId="2" xfId="1" applyFont="1" applyBorder="1" applyAlignment="1">
      <alignment horizontal="center"/>
    </xf>
    <xf numFmtId="44" fontId="12" fillId="0" borderId="28" xfId="29" applyFont="1" applyBorder="1" applyAlignment="1">
      <alignment horizontal="right"/>
    </xf>
    <xf numFmtId="0" fontId="12" fillId="0" borderId="1" xfId="1" applyFont="1" applyBorder="1" applyAlignment="1" applyProtection="1">
      <alignment horizontal="right"/>
    </xf>
    <xf numFmtId="0" fontId="12" fillId="0" borderId="37" xfId="1" applyFont="1" applyFill="1" applyBorder="1" applyAlignment="1" applyProtection="1">
      <alignment horizontal="center"/>
    </xf>
    <xf numFmtId="3" fontId="14" fillId="0" borderId="31" xfId="24" applyNumberFormat="1" applyFont="1" applyFill="1" applyBorder="1" applyAlignment="1">
      <alignment horizontal="center"/>
    </xf>
    <xf numFmtId="44" fontId="12" fillId="0" borderId="38" xfId="30" applyFont="1" applyFill="1" applyBorder="1" applyAlignment="1" applyProtection="1">
      <alignment horizontal="right"/>
    </xf>
    <xf numFmtId="0" fontId="12" fillId="0" borderId="0" xfId="1" applyFont="1"/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4" fontId="12" fillId="0" borderId="6" xfId="1" applyNumberFormat="1" applyFont="1" applyBorder="1" applyAlignment="1">
      <alignment horizontal="right"/>
    </xf>
    <xf numFmtId="44" fontId="13" fillId="0" borderId="7" xfId="29" applyFont="1" applyBorder="1" applyAlignment="1">
      <alignment horizontal="right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right"/>
    </xf>
    <xf numFmtId="0" fontId="12" fillId="0" borderId="1" xfId="1" applyFont="1" applyBorder="1" applyAlignment="1">
      <alignment horizontal="center"/>
    </xf>
    <xf numFmtId="38" fontId="12" fillId="0" borderId="31" xfId="23" applyNumberFormat="1" applyFont="1" applyBorder="1" applyAlignment="1">
      <alignment horizontal="left" vertical="center"/>
    </xf>
    <xf numFmtId="38" fontId="12" fillId="0" borderId="32" xfId="23" applyNumberFormat="1" applyFont="1" applyBorder="1" applyAlignment="1">
      <alignment horizontal="left" vertical="center"/>
    </xf>
    <xf numFmtId="38" fontId="12" fillId="0" borderId="20" xfId="23" applyNumberFormat="1" applyFont="1" applyBorder="1" applyAlignment="1">
      <alignment horizontal="center" vertical="center"/>
    </xf>
    <xf numFmtId="0" fontId="15" fillId="0" borderId="20" xfId="1" applyFont="1" applyBorder="1" applyAlignment="1">
      <alignment horizontal="center"/>
    </xf>
    <xf numFmtId="3" fontId="14" fillId="0" borderId="2" xfId="24" applyNumberFormat="1" applyFont="1" applyBorder="1" applyAlignment="1">
      <alignment horizontal="center"/>
    </xf>
    <xf numFmtId="0" fontId="13" fillId="0" borderId="0" xfId="1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right"/>
    </xf>
    <xf numFmtId="38" fontId="12" fillId="0" borderId="10" xfId="23" applyNumberFormat="1" applyFont="1" applyBorder="1" applyAlignment="1">
      <alignment horizontal="left" vertical="center"/>
    </xf>
    <xf numFmtId="8" fontId="14" fillId="0" borderId="2" xfId="29" applyNumberFormat="1" applyFont="1" applyBorder="1" applyAlignment="1">
      <alignment horizontal="right"/>
    </xf>
    <xf numFmtId="38" fontId="12" fillId="0" borderId="23" xfId="23" applyNumberFormat="1" applyFont="1" applyBorder="1" applyAlignment="1">
      <alignment horizontal="left" vertical="center"/>
    </xf>
    <xf numFmtId="38" fontId="12" fillId="0" borderId="2" xfId="23" applyNumberFormat="1" applyFont="1" applyBorder="1" applyAlignment="1">
      <alignment horizontal="center" vertical="center"/>
    </xf>
    <xf numFmtId="38" fontId="12" fillId="3" borderId="20" xfId="23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/>
    </xf>
    <xf numFmtId="8" fontId="14" fillId="3" borderId="2" xfId="29" applyNumberFormat="1" applyFont="1" applyFill="1" applyBorder="1" applyAlignment="1">
      <alignment horizontal="right"/>
    </xf>
    <xf numFmtId="44" fontId="12" fillId="3" borderId="28" xfId="29" applyFont="1" applyFill="1" applyBorder="1" applyAlignment="1">
      <alignment horizontal="right"/>
    </xf>
    <xf numFmtId="0" fontId="12" fillId="0" borderId="1" xfId="1" applyFont="1" applyBorder="1" applyAlignment="1">
      <alignment horizontal="right"/>
    </xf>
    <xf numFmtId="0" fontId="12" fillId="0" borderId="27" xfId="25" applyNumberFormat="1" applyFont="1" applyFill="1" applyBorder="1" applyAlignment="1" applyProtection="1">
      <alignment horizontal="center"/>
    </xf>
    <xf numFmtId="0" fontId="12" fillId="0" borderId="2" xfId="25" applyNumberFormat="1" applyFont="1" applyFill="1" applyBorder="1" applyAlignment="1" applyProtection="1">
      <alignment horizontal="center"/>
    </xf>
    <xf numFmtId="4" fontId="12" fillId="0" borderId="0" xfId="1" applyNumberFormat="1" applyFont="1" applyAlignment="1" applyProtection="1">
      <alignment horizontal="right"/>
    </xf>
    <xf numFmtId="4" fontId="12" fillId="0" borderId="0" xfId="28" applyNumberFormat="1" applyFont="1" applyBorder="1" applyAlignment="1" applyProtection="1">
      <alignment horizontal="right"/>
    </xf>
    <xf numFmtId="44" fontId="12" fillId="0" borderId="0" xfId="1" applyNumberFormat="1" applyFont="1" applyFill="1" applyProtection="1"/>
    <xf numFmtId="38" fontId="21" fillId="0" borderId="23" xfId="19" applyNumberFormat="1" applyFont="1" applyFill="1" applyBorder="1" applyAlignment="1">
      <alignment horizontal="left"/>
    </xf>
    <xf numFmtId="38" fontId="12" fillId="0" borderId="2" xfId="23" applyNumberFormat="1" applyFont="1" applyFill="1" applyBorder="1" applyAlignment="1" applyProtection="1">
      <alignment horizontal="left" vertical="center"/>
    </xf>
    <xf numFmtId="38" fontId="12" fillId="0" borderId="23" xfId="19" applyNumberFormat="1" applyFont="1" applyBorder="1" applyAlignment="1">
      <alignment horizontal="left"/>
    </xf>
    <xf numFmtId="0" fontId="12" fillId="0" borderId="2" xfId="0" applyFont="1" applyBorder="1"/>
    <xf numFmtId="1" fontId="12" fillId="0" borderId="2" xfId="14" applyNumberFormat="1" applyFont="1" applyBorder="1" applyAlignment="1">
      <alignment horizontal="center"/>
    </xf>
    <xf numFmtId="1" fontId="14" fillId="0" borderId="2" xfId="31" applyNumberFormat="1" applyFont="1" applyBorder="1" applyAlignment="1">
      <alignment horizontal="center"/>
    </xf>
    <xf numFmtId="0" fontId="18" fillId="0" borderId="0" xfId="0" applyFont="1"/>
    <xf numFmtId="1" fontId="12" fillId="0" borderId="2" xfId="31" applyNumberFormat="1" applyFont="1" applyBorder="1" applyAlignment="1">
      <alignment horizontal="center"/>
    </xf>
    <xf numFmtId="1" fontId="14" fillId="0" borderId="0" xfId="53" applyNumberFormat="1" applyFont="1" applyAlignment="1">
      <alignment horizontal="center"/>
    </xf>
    <xf numFmtId="1" fontId="12" fillId="0" borderId="2" xfId="56" applyNumberFormat="1" applyFont="1" applyBorder="1" applyAlignment="1">
      <alignment horizontal="center"/>
    </xf>
    <xf numFmtId="0" fontId="12" fillId="0" borderId="2" xfId="23" applyFont="1" applyBorder="1" applyAlignment="1">
      <alignment horizontal="center" vertical="center"/>
    </xf>
    <xf numFmtId="0" fontId="12" fillId="0" borderId="0" xfId="23" applyFont="1" applyAlignment="1">
      <alignment horizontal="center" vertical="center"/>
    </xf>
    <xf numFmtId="0" fontId="15" fillId="0" borderId="0" xfId="23" applyFont="1" applyAlignment="1">
      <alignment horizontal="center" vertical="center"/>
    </xf>
    <xf numFmtId="0" fontId="23" fillId="0" borderId="1" xfId="1" applyFont="1" applyFill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vertical="center"/>
    </xf>
    <xf numFmtId="40" fontId="23" fillId="4" borderId="2" xfId="1" applyNumberFormat="1" applyFont="1" applyFill="1" applyBorder="1" applyAlignment="1" applyProtection="1">
      <alignment vertical="center"/>
    </xf>
    <xf numFmtId="40" fontId="23" fillId="4" borderId="2" xfId="1" applyNumberFormat="1" applyFont="1" applyFill="1" applyBorder="1" applyAlignment="1" applyProtection="1">
      <alignment vertical="center"/>
      <protection locked="0"/>
    </xf>
    <xf numFmtId="40" fontId="23" fillId="4" borderId="28" xfId="1" applyNumberFormat="1" applyFont="1" applyFill="1" applyBorder="1" applyAlignment="1" applyProtection="1">
      <alignment vertical="center"/>
    </xf>
    <xf numFmtId="0" fontId="23" fillId="0" borderId="2" xfId="1" applyFont="1" applyBorder="1" applyAlignment="1" applyProtection="1">
      <alignment horizontal="center" vertical="center"/>
    </xf>
    <xf numFmtId="38" fontId="23" fillId="0" borderId="2" xfId="1" applyNumberFormat="1" applyFont="1" applyFill="1" applyBorder="1" applyAlignment="1" applyProtection="1">
      <alignment horizontal="center" vertical="center"/>
    </xf>
    <xf numFmtId="8" fontId="23" fillId="5" borderId="2" xfId="1" applyNumberFormat="1" applyFont="1" applyFill="1" applyBorder="1" applyAlignment="1" applyProtection="1">
      <alignment vertical="center"/>
      <protection locked="0"/>
    </xf>
    <xf numFmtId="8" fontId="23" fillId="5" borderId="28" xfId="1" applyNumberFormat="1" applyFont="1" applyFill="1" applyBorder="1" applyAlignment="1" applyProtection="1">
      <alignment vertical="center"/>
    </xf>
    <xf numFmtId="0" fontId="12" fillId="0" borderId="20" xfId="1" applyFont="1" applyBorder="1" applyAlignment="1">
      <alignment horizontal="center"/>
    </xf>
    <xf numFmtId="0" fontId="26" fillId="0" borderId="0" xfId="58" applyFont="1" applyBorder="1"/>
    <xf numFmtId="0" fontId="26" fillId="5" borderId="0" xfId="0" applyFont="1" applyFill="1" applyBorder="1" applyAlignment="1">
      <alignment horizontal="left" indent="1"/>
    </xf>
    <xf numFmtId="0" fontId="27" fillId="5" borderId="0" xfId="0" applyFont="1" applyFill="1" applyBorder="1"/>
    <xf numFmtId="37" fontId="26" fillId="5" borderId="0" xfId="57" applyNumberFormat="1" applyFont="1" applyFill="1" applyBorder="1" applyAlignment="1">
      <alignment horizontal="center" vertical="center"/>
    </xf>
    <xf numFmtId="44" fontId="26" fillId="5" borderId="0" xfId="0" applyNumberFormat="1" applyFont="1" applyFill="1" applyBorder="1" applyAlignment="1">
      <alignment horizontal="center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38" fontId="12" fillId="0" borderId="10" xfId="23" applyNumberFormat="1" applyFont="1" applyFill="1" applyBorder="1" applyAlignment="1" applyProtection="1">
      <alignment vertical="center"/>
    </xf>
    <xf numFmtId="38" fontId="12" fillId="0" borderId="23" xfId="23" applyNumberFormat="1" applyFont="1" applyFill="1" applyBorder="1" applyAlignment="1" applyProtection="1">
      <alignment vertical="center"/>
    </xf>
    <xf numFmtId="38" fontId="12" fillId="0" borderId="10" xfId="16" applyNumberFormat="1" applyFont="1" applyFill="1" applyBorder="1" applyAlignment="1">
      <alignment horizontal="left"/>
    </xf>
    <xf numFmtId="38" fontId="12" fillId="0" borderId="23" xfId="16" applyNumberFormat="1" applyFont="1" applyFill="1" applyBorder="1" applyAlignment="1">
      <alignment horizontal="left"/>
    </xf>
    <xf numFmtId="0" fontId="12" fillId="0" borderId="10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0" fontId="12" fillId="0" borderId="10" xfId="1" applyFont="1" applyBorder="1" applyAlignment="1" applyProtection="1">
      <alignment horizontal="left"/>
    </xf>
    <xf numFmtId="0" fontId="12" fillId="0" borderId="23" xfId="1" applyFont="1" applyBorder="1" applyAlignment="1" applyProtection="1">
      <alignment horizontal="left"/>
    </xf>
    <xf numFmtId="38" fontId="12" fillId="0" borderId="23" xfId="19" applyNumberFormat="1" applyFont="1" applyFill="1" applyBorder="1" applyAlignment="1">
      <alignment horizontal="left"/>
    </xf>
    <xf numFmtId="0" fontId="12" fillId="0" borderId="6" xfId="1" applyFont="1" applyBorder="1" applyProtection="1"/>
    <xf numFmtId="0" fontId="12" fillId="0" borderId="24" xfId="1" applyFont="1" applyBorder="1" applyProtection="1"/>
    <xf numFmtId="38" fontId="12" fillId="0" borderId="9" xfId="23" applyNumberFormat="1" applyFont="1" applyBorder="1" applyAlignment="1">
      <alignment horizontal="left" vertical="center"/>
    </xf>
    <xf numFmtId="38" fontId="12" fillId="0" borderId="22" xfId="23" applyNumberFormat="1" applyFont="1" applyFill="1" applyBorder="1" applyAlignment="1" applyProtection="1">
      <alignment horizontal="left" vertical="center"/>
    </xf>
    <xf numFmtId="9" fontId="12" fillId="0" borderId="0" xfId="1" applyNumberFormat="1" applyFont="1" applyBorder="1" applyAlignment="1" applyProtection="1">
      <alignment horizontal="center"/>
    </xf>
    <xf numFmtId="44" fontId="12" fillId="0" borderId="29" xfId="30" applyFont="1" applyFill="1" applyBorder="1" applyAlignment="1" applyProtection="1">
      <alignment horizontal="right"/>
    </xf>
    <xf numFmtId="8" fontId="14" fillId="3" borderId="28" xfId="29" applyNumberFormat="1" applyFont="1" applyFill="1" applyBorder="1" applyAlignment="1">
      <alignment horizontal="right"/>
    </xf>
    <xf numFmtId="44" fontId="12" fillId="0" borderId="39" xfId="30" applyFont="1" applyFill="1" applyBorder="1" applyAlignment="1" applyProtection="1">
      <alignment horizontal="right"/>
    </xf>
    <xf numFmtId="0" fontId="28" fillId="0" borderId="0" xfId="0" applyNumberFormat="1" applyFont="1" applyAlignment="1" applyProtection="1"/>
    <xf numFmtId="0" fontId="12" fillId="0" borderId="20" xfId="1" applyNumberFormat="1" applyFont="1" applyFill="1" applyBorder="1" applyAlignment="1" applyProtection="1">
      <alignment horizontal="center"/>
    </xf>
    <xf numFmtId="38" fontId="22" fillId="2" borderId="10" xfId="23" applyNumberFormat="1" applyFont="1" applyFill="1" applyBorder="1" applyAlignment="1" applyProtection="1">
      <alignment horizontal="center" vertical="center"/>
    </xf>
    <xf numFmtId="38" fontId="12" fillId="2" borderId="23" xfId="23" applyNumberFormat="1" applyFont="1" applyFill="1" applyBorder="1" applyAlignment="1" applyProtection="1">
      <alignment horizontal="left" vertical="center"/>
    </xf>
    <xf numFmtId="0" fontId="12" fillId="2" borderId="0" xfId="1" applyFont="1" applyFill="1" applyProtection="1"/>
    <xf numFmtId="0" fontId="12" fillId="2" borderId="2" xfId="3" applyNumberFormat="1" applyFont="1" applyFill="1" applyBorder="1" applyAlignment="1" applyProtection="1">
      <alignment horizontal="center" vertical="center"/>
    </xf>
    <xf numFmtId="0" fontId="12" fillId="2" borderId="31" xfId="1" applyFont="1" applyFill="1" applyBorder="1" applyAlignment="1" applyProtection="1">
      <alignment horizontal="center"/>
    </xf>
    <xf numFmtId="0" fontId="12" fillId="2" borderId="32" xfId="1" applyFont="1" applyFill="1" applyBorder="1" applyProtection="1"/>
    <xf numFmtId="0" fontId="12" fillId="2" borderId="20" xfId="1" applyFont="1" applyFill="1" applyBorder="1" applyAlignment="1" applyProtection="1">
      <alignment horizontal="center"/>
    </xf>
    <xf numFmtId="0" fontId="12" fillId="2" borderId="20" xfId="1" applyNumberFormat="1" applyFont="1" applyFill="1" applyBorder="1" applyAlignment="1" applyProtection="1">
      <alignment horizontal="center"/>
    </xf>
    <xf numFmtId="8" fontId="12" fillId="2" borderId="2" xfId="1" applyNumberFormat="1" applyFont="1" applyFill="1" applyBorder="1" applyAlignment="1" applyProtection="1">
      <alignment horizontal="right"/>
    </xf>
    <xf numFmtId="0" fontId="12" fillId="2" borderId="0" xfId="1" applyFont="1" applyFill="1" applyAlignment="1" applyProtection="1">
      <alignment horizontal="center"/>
    </xf>
    <xf numFmtId="0" fontId="13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/>
    <xf numFmtId="38" fontId="12" fillId="2" borderId="0" xfId="1" applyNumberFormat="1" applyFont="1" applyFill="1" applyAlignment="1" applyProtection="1">
      <alignment horizontal="center"/>
    </xf>
    <xf numFmtId="40" fontId="12" fillId="2" borderId="0" xfId="1" applyNumberFormat="1" applyFont="1" applyFill="1" applyAlignment="1" applyProtection="1"/>
    <xf numFmtId="0" fontId="12" fillId="2" borderId="0" xfId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38" fontId="12" fillId="2" borderId="0" xfId="1" applyNumberFormat="1" applyFont="1" applyFill="1" applyBorder="1" applyAlignment="1" applyProtection="1">
      <alignment horizontal="center"/>
    </xf>
    <xf numFmtId="40" fontId="12" fillId="2" borderId="0" xfId="1" applyNumberFormat="1" applyFont="1" applyFill="1" applyBorder="1" applyAlignment="1" applyProtection="1"/>
    <xf numFmtId="0" fontId="13" fillId="2" borderId="0" xfId="1" applyFont="1" applyFill="1" applyBorder="1" applyAlignment="1" applyProtection="1"/>
    <xf numFmtId="0" fontId="12" fillId="2" borderId="0" xfId="1" applyFont="1" applyFill="1" applyAlignment="1" applyProtection="1">
      <alignment horizontal="center" vertical="top" wrapText="1"/>
    </xf>
    <xf numFmtId="0" fontId="13" fillId="2" borderId="0" xfId="1" applyFont="1" applyFill="1" applyBorder="1" applyAlignment="1" applyProtection="1">
      <alignment horizontal="center"/>
    </xf>
    <xf numFmtId="0" fontId="13" fillId="2" borderId="0" xfId="1" applyFont="1" applyFill="1" applyBorder="1" applyAlignment="1" applyProtection="1">
      <alignment horizontal="centerContinuous"/>
    </xf>
    <xf numFmtId="168" fontId="15" fillId="2" borderId="0" xfId="23" applyNumberFormat="1" applyFont="1" applyFill="1" applyBorder="1" applyAlignment="1" applyProtection="1">
      <alignment horizontal="center" vertical="center"/>
    </xf>
    <xf numFmtId="0" fontId="12" fillId="2" borderId="0" xfId="23" applyFont="1" applyFill="1" applyBorder="1" applyAlignment="1" applyProtection="1">
      <alignment horizontal="left" vertical="center"/>
    </xf>
    <xf numFmtId="0" fontId="18" fillId="2" borderId="0" xfId="0" applyFont="1" applyFill="1"/>
    <xf numFmtId="168" fontId="15" fillId="2" borderId="0" xfId="3" applyNumberFormat="1" applyFont="1" applyFill="1" applyBorder="1" applyAlignment="1" applyProtection="1">
      <alignment horizontal="center" vertical="center"/>
    </xf>
    <xf numFmtId="0" fontId="12" fillId="2" borderId="0" xfId="1" applyFont="1" applyFill="1" applyBorder="1" applyAlignment="1" applyProtection="1">
      <alignment horizontal="left"/>
    </xf>
    <xf numFmtId="1" fontId="14" fillId="2" borderId="0" xfId="14" applyNumberFormat="1" applyFont="1" applyFill="1" applyBorder="1" applyAlignment="1">
      <alignment horizontal="center"/>
    </xf>
    <xf numFmtId="0" fontId="18" fillId="2" borderId="0" xfId="0" applyFont="1" applyFill="1" applyBorder="1"/>
    <xf numFmtId="38" fontId="12" fillId="2" borderId="0" xfId="23" applyNumberFormat="1" applyFont="1" applyFill="1" applyBorder="1" applyAlignment="1" applyProtection="1">
      <alignment horizontal="left" vertical="center"/>
    </xf>
    <xf numFmtId="0" fontId="15" fillId="2" borderId="0" xfId="3" applyNumberFormat="1" applyFont="1" applyFill="1" applyBorder="1" applyAlignment="1" applyProtection="1">
      <alignment horizontal="center" vertical="center"/>
    </xf>
    <xf numFmtId="1" fontId="12" fillId="2" borderId="0" xfId="1" applyNumberFormat="1" applyFont="1" applyFill="1" applyBorder="1" applyAlignment="1" applyProtection="1">
      <alignment horizontal="center"/>
    </xf>
    <xf numFmtId="1" fontId="14" fillId="2" borderId="0" xfId="31" applyNumberFormat="1" applyFont="1" applyFill="1" applyBorder="1" applyAlignment="1">
      <alignment horizontal="center"/>
    </xf>
    <xf numFmtId="38" fontId="12" fillId="2" borderId="0" xfId="23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/>
    <xf numFmtId="1" fontId="12" fillId="2" borderId="2" xfId="14" applyNumberFormat="1" applyFont="1" applyFill="1" applyBorder="1" applyAlignment="1">
      <alignment horizontal="center"/>
    </xf>
    <xf numFmtId="1" fontId="14" fillId="2" borderId="2" xfId="31" applyNumberFormat="1" applyFont="1" applyFill="1" applyBorder="1" applyAlignment="1">
      <alignment horizontal="center"/>
    </xf>
    <xf numFmtId="1" fontId="12" fillId="2" borderId="2" xfId="31" applyNumberFormat="1" applyFont="1" applyFill="1" applyBorder="1" applyAlignment="1">
      <alignment horizontal="center"/>
    </xf>
    <xf numFmtId="0" fontId="12" fillId="2" borderId="0" xfId="1" applyFont="1" applyFill="1" applyBorder="1" applyProtection="1"/>
    <xf numFmtId="0" fontId="12" fillId="2" borderId="2" xfId="1" applyFont="1" applyFill="1" applyBorder="1" applyAlignment="1">
      <alignment horizontal="center"/>
    </xf>
    <xf numFmtId="0" fontId="12" fillId="2" borderId="0" xfId="1" applyFont="1" applyFill="1" applyAlignment="1">
      <alignment horizontal="left"/>
    </xf>
    <xf numFmtId="0" fontId="12" fillId="2" borderId="0" xfId="1" applyFont="1" applyFill="1"/>
    <xf numFmtId="0" fontId="15" fillId="2" borderId="0" xfId="23" applyNumberFormat="1" applyFont="1" applyFill="1" applyBorder="1" applyAlignment="1" applyProtection="1">
      <alignment horizontal="center" vertical="center"/>
    </xf>
    <xf numFmtId="1" fontId="14" fillId="2" borderId="0" xfId="53" applyNumberFormat="1" applyFont="1" applyFill="1" applyAlignment="1">
      <alignment horizontal="center"/>
    </xf>
    <xf numFmtId="38" fontId="12" fillId="2" borderId="0" xfId="16" applyNumberFormat="1" applyFont="1" applyFill="1" applyBorder="1"/>
    <xf numFmtId="0" fontId="12" fillId="2" borderId="0" xfId="23" applyNumberFormat="1" applyFont="1" applyFill="1" applyBorder="1" applyAlignment="1" applyProtection="1">
      <alignment horizontal="center" vertical="center"/>
    </xf>
    <xf numFmtId="0" fontId="12" fillId="2" borderId="0" xfId="1" applyFont="1" applyFill="1" applyAlignment="1">
      <alignment horizontal="center"/>
    </xf>
    <xf numFmtId="1" fontId="12" fillId="2" borderId="2" xfId="56" applyNumberFormat="1" applyFont="1" applyFill="1" applyBorder="1" applyAlignment="1">
      <alignment horizontal="center"/>
    </xf>
    <xf numFmtId="0" fontId="12" fillId="2" borderId="2" xfId="23" applyFont="1" applyFill="1" applyBorder="1" applyAlignment="1">
      <alignment horizontal="center" vertical="center"/>
    </xf>
    <xf numFmtId="1" fontId="14" fillId="2" borderId="0" xfId="56" applyNumberFormat="1" applyFont="1" applyFill="1" applyBorder="1" applyAlignment="1">
      <alignment horizontal="center"/>
    </xf>
    <xf numFmtId="1" fontId="14" fillId="2" borderId="0" xfId="53" applyNumberFormat="1" applyFont="1" applyFill="1" applyBorder="1" applyAlignment="1">
      <alignment horizontal="center"/>
    </xf>
    <xf numFmtId="165" fontId="12" fillId="2" borderId="0" xfId="1" applyNumberFormat="1" applyFont="1" applyFill="1" applyBorder="1" applyProtection="1"/>
    <xf numFmtId="0" fontId="12" fillId="2" borderId="0" xfId="1" quotePrefix="1" applyFont="1" applyFill="1" applyBorder="1" applyProtection="1"/>
    <xf numFmtId="0" fontId="12" fillId="2" borderId="0" xfId="23" applyFont="1" applyFill="1" applyAlignment="1">
      <alignment horizontal="center" vertical="center"/>
    </xf>
    <xf numFmtId="0" fontId="15" fillId="2" borderId="0" xfId="23" applyFont="1" applyFill="1" applyAlignment="1">
      <alignment horizontal="center" vertical="center"/>
    </xf>
    <xf numFmtId="0" fontId="16" fillId="2" borderId="0" xfId="1" applyFont="1" applyFill="1" applyBorder="1" applyAlignment="1" applyProtection="1">
      <alignment horizontal="center"/>
    </xf>
    <xf numFmtId="9" fontId="12" fillId="2" borderId="0" xfId="1" applyNumberFormat="1" applyFont="1" applyFill="1" applyBorder="1" applyAlignment="1" applyProtection="1">
      <alignment horizontal="center"/>
    </xf>
    <xf numFmtId="0" fontId="15" fillId="2" borderId="2" xfId="1" applyNumberFormat="1" applyFont="1" applyFill="1" applyBorder="1" applyAlignment="1" applyProtection="1">
      <alignment horizontal="center"/>
    </xf>
    <xf numFmtId="0" fontId="12" fillId="2" borderId="0" xfId="1" quotePrefix="1" applyFont="1" applyFill="1" applyProtection="1"/>
    <xf numFmtId="167" fontId="12" fillId="2" borderId="0" xfId="29" applyNumberFormat="1" applyFont="1" applyFill="1" applyProtection="1"/>
    <xf numFmtId="0" fontId="15" fillId="2" borderId="0" xfId="1" applyNumberFormat="1" applyFont="1" applyFill="1" applyBorder="1" applyAlignment="1" applyProtection="1">
      <alignment horizontal="center"/>
    </xf>
    <xf numFmtId="0" fontId="12" fillId="2" borderId="0" xfId="2" applyFont="1" applyFill="1" applyBorder="1" applyAlignment="1">
      <alignment horizontal="center"/>
    </xf>
    <xf numFmtId="0" fontId="12" fillId="2" borderId="0" xfId="2" applyFont="1" applyFill="1" applyBorder="1"/>
    <xf numFmtId="9" fontId="12" fillId="2" borderId="0" xfId="6" applyFont="1" applyFill="1" applyAlignment="1" applyProtection="1">
      <alignment horizontal="center"/>
    </xf>
    <xf numFmtId="169" fontId="12" fillId="2" borderId="0" xfId="6" applyNumberFormat="1" applyFont="1" applyFill="1" applyAlignment="1" applyProtection="1">
      <alignment horizontal="center"/>
    </xf>
    <xf numFmtId="9" fontId="12" fillId="2" borderId="17" xfId="1" applyNumberFormat="1" applyFont="1" applyFill="1" applyBorder="1" applyAlignment="1" applyProtection="1">
      <alignment horizontal="center"/>
    </xf>
    <xf numFmtId="0" fontId="12" fillId="2" borderId="0" xfId="1" applyFont="1" applyFill="1" applyAlignment="1" applyProtection="1">
      <alignment horizontal="center" wrapText="1"/>
    </xf>
    <xf numFmtId="40" fontId="15" fillId="2" borderId="0" xfId="1" applyNumberFormat="1" applyFont="1" applyFill="1" applyAlignment="1" applyProtection="1">
      <alignment horizontal="center"/>
    </xf>
    <xf numFmtId="0" fontId="12" fillId="2" borderId="10" xfId="1" applyFont="1" applyFill="1" applyBorder="1" applyAlignment="1" applyProtection="1">
      <alignment horizontal="center"/>
    </xf>
    <xf numFmtId="0" fontId="15" fillId="2" borderId="20" xfId="1" applyNumberFormat="1" applyFont="1" applyFill="1" applyBorder="1" applyAlignment="1" applyProtection="1">
      <alignment horizontal="center"/>
    </xf>
    <xf numFmtId="44" fontId="13" fillId="0" borderId="7" xfId="30" applyFont="1" applyFill="1" applyBorder="1" applyAlignment="1" applyProtection="1">
      <alignment horizontal="left" wrapText="1"/>
    </xf>
    <xf numFmtId="0" fontId="22" fillId="2" borderId="31" xfId="1" applyFont="1" applyFill="1" applyBorder="1" applyAlignment="1" applyProtection="1">
      <alignment horizontal="center"/>
    </xf>
    <xf numFmtId="3" fontId="12" fillId="0" borderId="2" xfId="23" applyNumberFormat="1" applyFont="1" applyFill="1" applyBorder="1" applyAlignment="1" applyProtection="1">
      <alignment horizontal="center" vertical="center"/>
    </xf>
    <xf numFmtId="3" fontId="12" fillId="2" borderId="2" xfId="23" applyNumberFormat="1" applyFont="1" applyFill="1" applyBorder="1" applyAlignment="1" applyProtection="1">
      <alignment horizontal="center" vertical="center"/>
    </xf>
    <xf numFmtId="0" fontId="12" fillId="0" borderId="2" xfId="1" applyNumberFormat="1" applyFont="1" applyBorder="1" applyAlignment="1">
      <alignment horizontal="center"/>
    </xf>
    <xf numFmtId="9" fontId="12" fillId="0" borderId="2" xfId="1" applyNumberFormat="1" applyFont="1" applyBorder="1" applyAlignment="1" applyProtection="1">
      <alignment horizontal="center"/>
    </xf>
    <xf numFmtId="1" fontId="12" fillId="0" borderId="27" xfId="25" applyNumberFormat="1" applyFont="1" applyFill="1" applyBorder="1" applyAlignment="1" applyProtection="1">
      <alignment horizontal="center"/>
    </xf>
    <xf numFmtId="1" fontId="12" fillId="0" borderId="2" xfId="25" applyNumberFormat="1" applyFont="1" applyFill="1" applyBorder="1" applyAlignment="1" applyProtection="1">
      <alignment horizontal="center"/>
    </xf>
    <xf numFmtId="1" fontId="12" fillId="0" borderId="15" xfId="25" applyNumberFormat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5" xfId="1" applyNumberFormat="1" applyFont="1" applyFill="1" applyBorder="1" applyAlignment="1" applyProtection="1">
      <alignment horizontal="center" vertical="center"/>
    </xf>
    <xf numFmtId="4" fontId="12" fillId="0" borderId="6" xfId="1" applyNumberFormat="1" applyFont="1" applyFill="1" applyBorder="1" applyAlignment="1" applyProtection="1">
      <alignment horizontal="right" vertical="center"/>
    </xf>
    <xf numFmtId="44" fontId="13" fillId="0" borderId="7" xfId="30" applyFont="1" applyFill="1" applyBorder="1" applyAlignment="1" applyProtection="1">
      <alignment horizontal="right" vertical="center"/>
    </xf>
    <xf numFmtId="0" fontId="12" fillId="0" borderId="0" xfId="1" applyFont="1" applyFill="1" applyAlignment="1" applyProtection="1">
      <alignment vertical="center"/>
    </xf>
    <xf numFmtId="0" fontId="18" fillId="0" borderId="0" xfId="0" applyFont="1" applyFill="1" applyProtection="1"/>
    <xf numFmtId="43" fontId="12" fillId="0" borderId="0" xfId="0" applyNumberFormat="1" applyFont="1" applyFill="1" applyBorder="1" applyAlignment="1" applyProtection="1">
      <alignment horizontal="center" vertical="center"/>
    </xf>
    <xf numFmtId="1" fontId="14" fillId="0" borderId="0" xfId="14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8" fontId="14" fillId="2" borderId="2" xfId="30" applyNumberFormat="1" applyFont="1" applyFill="1" applyBorder="1" applyAlignment="1" applyProtection="1">
      <alignment horizontal="right"/>
    </xf>
    <xf numFmtId="1" fontId="14" fillId="0" borderId="0" xfId="31" applyNumberFormat="1" applyFont="1" applyFill="1" applyBorder="1" applyAlignment="1" applyProtection="1">
      <alignment horizontal="center"/>
    </xf>
    <xf numFmtId="0" fontId="12" fillId="0" borderId="2" xfId="0" applyFont="1" applyBorder="1" applyProtection="1"/>
    <xf numFmtId="1" fontId="12" fillId="0" borderId="2" xfId="14" applyNumberFormat="1" applyFont="1" applyBorder="1" applyAlignment="1" applyProtection="1">
      <alignment horizontal="center"/>
    </xf>
    <xf numFmtId="1" fontId="14" fillId="0" borderId="2" xfId="31" applyNumberFormat="1" applyFont="1" applyBorder="1" applyAlignment="1" applyProtection="1">
      <alignment horizontal="center"/>
    </xf>
    <xf numFmtId="0" fontId="18" fillId="0" borderId="0" xfId="0" applyFont="1" applyProtection="1"/>
    <xf numFmtId="1" fontId="12" fillId="0" borderId="2" xfId="31" applyNumberFormat="1" applyFont="1" applyBorder="1" applyAlignment="1" applyProtection="1">
      <alignment horizontal="center"/>
    </xf>
    <xf numFmtId="0" fontId="12" fillId="0" borderId="0" xfId="1" applyFont="1" applyAlignment="1" applyProtection="1">
      <alignment horizontal="left"/>
    </xf>
    <xf numFmtId="0" fontId="18" fillId="0" borderId="0" xfId="0" applyFont="1" applyBorder="1" applyProtection="1"/>
    <xf numFmtId="1" fontId="14" fillId="0" borderId="0" xfId="53" applyNumberFormat="1" applyFont="1" applyBorder="1" applyAlignment="1" applyProtection="1">
      <alignment horizontal="center"/>
    </xf>
    <xf numFmtId="1" fontId="14" fillId="0" borderId="0" xfId="53" applyNumberFormat="1" applyFont="1" applyAlignment="1" applyProtection="1">
      <alignment horizontal="center"/>
    </xf>
    <xf numFmtId="38" fontId="12" fillId="0" borderId="0" xfId="16" applyNumberFormat="1" applyFont="1" applyFill="1" applyBorder="1" applyProtection="1"/>
    <xf numFmtId="1" fontId="12" fillId="0" borderId="2" xfId="56" applyNumberFormat="1" applyFont="1" applyBorder="1" applyAlignment="1" applyProtection="1">
      <alignment horizontal="center"/>
    </xf>
    <xf numFmtId="1" fontId="14" fillId="0" borderId="0" xfId="56" applyNumberFormat="1" applyFont="1" applyFill="1" applyBorder="1" applyAlignment="1" applyProtection="1">
      <alignment horizontal="center"/>
    </xf>
    <xf numFmtId="0" fontId="12" fillId="0" borderId="0" xfId="23" applyFont="1" applyAlignment="1" applyProtection="1">
      <alignment horizontal="center" vertical="center"/>
    </xf>
    <xf numFmtId="0" fontId="15" fillId="0" borderId="0" xfId="23" applyFont="1" applyAlignment="1" applyProtection="1">
      <alignment horizontal="center" vertical="center"/>
    </xf>
    <xf numFmtId="38" fontId="12" fillId="0" borderId="10" xfId="16" applyNumberFormat="1" applyFont="1" applyFill="1" applyBorder="1" applyAlignment="1" applyProtection="1">
      <alignment horizontal="left"/>
    </xf>
    <xf numFmtId="38" fontId="12" fillId="0" borderId="23" xfId="16" applyNumberFormat="1" applyFont="1" applyFill="1" applyBorder="1" applyAlignment="1" applyProtection="1">
      <alignment horizontal="left"/>
    </xf>
    <xf numFmtId="38" fontId="12" fillId="0" borderId="10" xfId="23" applyNumberFormat="1" applyFont="1" applyBorder="1" applyAlignment="1" applyProtection="1">
      <alignment horizontal="left" vertical="center"/>
    </xf>
    <xf numFmtId="38" fontId="12" fillId="0" borderId="23" xfId="19" applyNumberFormat="1" applyFont="1" applyFill="1" applyBorder="1" applyAlignment="1" applyProtection="1">
      <alignment horizontal="left"/>
    </xf>
    <xf numFmtId="44" fontId="12" fillId="0" borderId="28" xfId="29" applyFont="1" applyBorder="1" applyAlignment="1" applyProtection="1">
      <alignment horizontal="right"/>
    </xf>
    <xf numFmtId="0" fontId="12" fillId="0" borderId="0" xfId="2" applyFont="1" applyFill="1" applyBorder="1" applyAlignment="1" applyProtection="1">
      <alignment horizontal="center"/>
    </xf>
    <xf numFmtId="0" fontId="12" fillId="0" borderId="0" xfId="2" applyFont="1" applyFill="1" applyBorder="1" applyProtection="1"/>
    <xf numFmtId="3" fontId="14" fillId="0" borderId="2" xfId="24" applyNumberFormat="1" applyFont="1" applyFill="1" applyBorder="1" applyAlignment="1" applyProtection="1">
      <alignment horizontal="center"/>
    </xf>
    <xf numFmtId="0" fontId="12" fillId="0" borderId="0" xfId="4" applyFont="1" applyFill="1" applyAlignment="1" applyProtection="1">
      <alignment horizontal="left"/>
    </xf>
    <xf numFmtId="0" fontId="12" fillId="0" borderId="0" xfId="4" applyFont="1" applyFill="1" applyProtection="1"/>
    <xf numFmtId="0" fontId="18" fillId="0" borderId="0" xfId="0" applyFont="1" applyFill="1" applyAlignment="1" applyProtection="1">
      <alignment wrapText="1"/>
    </xf>
    <xf numFmtId="8" fontId="14" fillId="0" borderId="2" xfId="30" applyNumberFormat="1" applyFont="1" applyFill="1" applyBorder="1" applyAlignment="1" applyProtection="1">
      <alignment horizontal="right"/>
      <protection locked="0"/>
    </xf>
    <xf numFmtId="8" fontId="14" fillId="0" borderId="20" xfId="30" applyNumberFormat="1" applyFont="1" applyFill="1" applyBorder="1" applyAlignment="1" applyProtection="1">
      <alignment horizontal="right"/>
      <protection locked="0"/>
    </xf>
    <xf numFmtId="8" fontId="12" fillId="0" borderId="2" xfId="30" applyNumberFormat="1" applyFont="1" applyFill="1" applyBorder="1" applyAlignment="1" applyProtection="1">
      <alignment horizontal="right"/>
      <protection locked="0"/>
    </xf>
    <xf numFmtId="8" fontId="12" fillId="0" borderId="2" xfId="29" applyNumberFormat="1" applyFont="1" applyBorder="1" applyAlignment="1" applyProtection="1">
      <alignment horizontal="right"/>
      <protection locked="0"/>
    </xf>
    <xf numFmtId="8" fontId="12" fillId="0" borderId="2" xfId="1" applyNumberFormat="1" applyFont="1" applyFill="1" applyBorder="1" applyAlignment="1" applyProtection="1">
      <alignment horizontal="right"/>
      <protection locked="0"/>
    </xf>
    <xf numFmtId="172" fontId="12" fillId="0" borderId="15" xfId="1" applyNumberFormat="1" applyFont="1" applyFill="1" applyBorder="1" applyAlignment="1" applyProtection="1">
      <alignment horizontal="right"/>
      <protection locked="0"/>
    </xf>
    <xf numFmtId="172" fontId="12" fillId="0" borderId="2" xfId="1" applyNumberFormat="1" applyFont="1" applyFill="1" applyBorder="1" applyAlignment="1" applyProtection="1">
      <alignment horizontal="right"/>
      <protection locked="0"/>
    </xf>
    <xf numFmtId="8" fontId="14" fillId="0" borderId="2" xfId="29" applyNumberFormat="1" applyFont="1" applyBorder="1" applyAlignment="1" applyProtection="1">
      <alignment horizontal="right"/>
      <protection locked="0"/>
    </xf>
    <xf numFmtId="3" fontId="12" fillId="0" borderId="2" xfId="3" applyNumberFormat="1" applyFont="1" applyFill="1" applyBorder="1" applyAlignment="1" applyProtection="1">
      <alignment horizontal="center" vertical="center"/>
    </xf>
    <xf numFmtId="0" fontId="13" fillId="0" borderId="11" xfId="1" applyFont="1" applyBorder="1" applyAlignment="1" applyProtection="1">
      <alignment horizontal="center" vertical="center"/>
    </xf>
    <xf numFmtId="0" fontId="13" fillId="0" borderId="12" xfId="1" applyFont="1" applyBorder="1" applyAlignment="1" applyProtection="1">
      <alignment horizontal="center" vertical="center"/>
    </xf>
    <xf numFmtId="0" fontId="13" fillId="0" borderId="13" xfId="1" applyFont="1" applyBorder="1" applyAlignment="1" applyProtection="1">
      <alignment horizontal="center" vertical="center"/>
    </xf>
    <xf numFmtId="0" fontId="13" fillId="0" borderId="18" xfId="1" applyFont="1" applyBorder="1" applyAlignment="1" applyProtection="1">
      <alignment horizontal="center" vertical="top" wrapText="1"/>
    </xf>
    <xf numFmtId="0" fontId="13" fillId="0" borderId="21" xfId="1" applyFont="1" applyBorder="1" applyAlignment="1" applyProtection="1">
      <alignment horizontal="center" vertical="top" wrapText="1"/>
    </xf>
    <xf numFmtId="0" fontId="12" fillId="0" borderId="9" xfId="23" applyFont="1" applyFill="1" applyBorder="1" applyAlignment="1" applyProtection="1">
      <alignment horizontal="left" vertical="center"/>
    </xf>
    <xf numFmtId="0" fontId="12" fillId="0" borderId="22" xfId="23" applyFont="1" applyFill="1" applyBorder="1" applyAlignment="1" applyProtection="1">
      <alignment horizontal="left" vertical="center"/>
    </xf>
    <xf numFmtId="38" fontId="12" fillId="0" borderId="10" xfId="23" applyNumberFormat="1" applyFont="1" applyFill="1" applyBorder="1" applyAlignment="1" applyProtection="1">
      <alignment horizontal="left" vertical="center"/>
    </xf>
    <xf numFmtId="38" fontId="12" fillId="0" borderId="23" xfId="23" applyNumberFormat="1" applyFont="1" applyFill="1" applyBorder="1" applyAlignment="1" applyProtection="1">
      <alignment horizontal="left" vertical="center"/>
    </xf>
    <xf numFmtId="0" fontId="13" fillId="0" borderId="6" xfId="1" applyFont="1" applyBorder="1" applyAlignment="1" applyProtection="1">
      <alignment horizontal="left"/>
    </xf>
    <xf numFmtId="0" fontId="13" fillId="0" borderId="24" xfId="1" applyFont="1" applyBorder="1" applyAlignment="1" applyProtection="1">
      <alignment horizontal="left"/>
    </xf>
    <xf numFmtId="0" fontId="12" fillId="0" borderId="10" xfId="1" applyFont="1" applyBorder="1" applyAlignment="1" applyProtection="1">
      <alignment horizontal="left"/>
    </xf>
    <xf numFmtId="0" fontId="12" fillId="0" borderId="23" xfId="1" applyFont="1" applyBorder="1" applyAlignment="1" applyProtection="1">
      <alignment horizontal="left"/>
    </xf>
    <xf numFmtId="0" fontId="12" fillId="0" borderId="9" xfId="1" applyFont="1" applyBorder="1" applyAlignment="1" applyProtection="1">
      <alignment horizontal="left"/>
    </xf>
    <xf numFmtId="0" fontId="12" fillId="0" borderId="22" xfId="1" applyFont="1" applyBorder="1" applyAlignment="1" applyProtection="1">
      <alignment horizontal="left"/>
    </xf>
    <xf numFmtId="0" fontId="13" fillId="0" borderId="33" xfId="1" applyFont="1" applyBorder="1" applyAlignment="1" applyProtection="1">
      <alignment horizontal="left"/>
    </xf>
    <xf numFmtId="0" fontId="13" fillId="0" borderId="34" xfId="1" applyFont="1" applyBorder="1" applyAlignment="1" applyProtection="1">
      <alignment horizontal="left"/>
    </xf>
    <xf numFmtId="38" fontId="12" fillId="0" borderId="10" xfId="16" applyNumberFormat="1" applyFont="1" applyFill="1" applyBorder="1" applyAlignment="1">
      <alignment horizontal="left"/>
    </xf>
    <xf numFmtId="38" fontId="12" fillId="0" borderId="23" xfId="16" applyNumberFormat="1" applyFont="1" applyFill="1" applyBorder="1" applyAlignment="1">
      <alignment horizontal="left"/>
    </xf>
    <xf numFmtId="0" fontId="13" fillId="11" borderId="11" xfId="1" applyFont="1" applyFill="1" applyBorder="1" applyAlignment="1">
      <alignment horizontal="center"/>
    </xf>
    <xf numFmtId="0" fontId="13" fillId="11" borderId="12" xfId="1" applyFont="1" applyFill="1" applyBorder="1" applyAlignment="1">
      <alignment horizontal="center"/>
    </xf>
    <xf numFmtId="0" fontId="13" fillId="11" borderId="13" xfId="1" applyFont="1" applyFill="1" applyBorder="1" applyAlignment="1">
      <alignment horizontal="center"/>
    </xf>
    <xf numFmtId="0" fontId="12" fillId="0" borderId="10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38" fontId="12" fillId="0" borderId="10" xfId="23" applyNumberFormat="1" applyFont="1" applyFill="1" applyBorder="1" applyAlignment="1" applyProtection="1">
      <alignment vertical="center"/>
    </xf>
    <xf numFmtId="38" fontId="12" fillId="0" borderId="23" xfId="23" applyNumberFormat="1" applyFont="1" applyFill="1" applyBorder="1" applyAlignment="1" applyProtection="1">
      <alignment vertical="center"/>
    </xf>
    <xf numFmtId="38" fontId="12" fillId="0" borderId="2" xfId="23" applyNumberFormat="1" applyFont="1" applyFill="1" applyBorder="1" applyAlignment="1" applyProtection="1">
      <alignment horizontal="left" vertical="center"/>
    </xf>
    <xf numFmtId="38" fontId="12" fillId="0" borderId="15" xfId="23" applyNumberFormat="1" applyFont="1" applyFill="1" applyBorder="1" applyAlignment="1" applyProtection="1">
      <alignment horizontal="left" vertical="center"/>
    </xf>
    <xf numFmtId="38" fontId="12" fillId="0" borderId="10" xfId="19" applyNumberFormat="1" applyFont="1" applyBorder="1" applyAlignment="1">
      <alignment horizontal="left"/>
    </xf>
    <xf numFmtId="38" fontId="12" fillId="0" borderId="23" xfId="19" applyNumberFormat="1" applyFont="1" applyBorder="1" applyAlignment="1">
      <alignment horizontal="left"/>
    </xf>
    <xf numFmtId="38" fontId="17" fillId="0" borderId="23" xfId="23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Alignment="1" applyProtection="1">
      <alignment horizontal="center" wrapText="1"/>
    </xf>
    <xf numFmtId="0" fontId="28" fillId="0" borderId="0" xfId="1" applyFont="1" applyAlignment="1" applyProtection="1">
      <alignment horizontal="left"/>
    </xf>
    <xf numFmtId="0" fontId="28" fillId="0" borderId="0" xfId="0" applyNumberFormat="1" applyFont="1" applyAlignment="1" applyProtection="1">
      <alignment horizontal="left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 applyProtection="1">
      <alignment horizontal="left" vertical="center" wrapText="1"/>
    </xf>
    <xf numFmtId="38" fontId="12" fillId="0" borderId="10" xfId="19" applyNumberFormat="1" applyFont="1" applyFill="1" applyBorder="1" applyAlignment="1" applyProtection="1">
      <alignment horizontal="left"/>
    </xf>
    <xf numFmtId="38" fontId="12" fillId="0" borderId="23" xfId="19" applyNumberFormat="1" applyFont="1" applyFill="1" applyBorder="1" applyAlignment="1" applyProtection="1">
      <alignment horizontal="left"/>
    </xf>
    <xf numFmtId="0" fontId="13" fillId="0" borderId="6" xfId="1" applyFont="1" applyFill="1" applyBorder="1" applyAlignment="1" applyProtection="1">
      <alignment horizontal="left"/>
    </xf>
    <xf numFmtId="0" fontId="13" fillId="0" borderId="24" xfId="1" applyFont="1" applyFill="1" applyBorder="1" applyAlignment="1" applyProtection="1">
      <alignment horizontal="left"/>
    </xf>
    <xf numFmtId="0" fontId="12" fillId="0" borderId="9" xfId="1" applyFont="1" applyFill="1" applyBorder="1" applyAlignment="1" applyProtection="1">
      <alignment horizontal="left"/>
    </xf>
    <xf numFmtId="0" fontId="12" fillId="0" borderId="22" xfId="1" applyFont="1" applyFill="1" applyBorder="1" applyAlignment="1" applyProtection="1">
      <alignment horizontal="left"/>
    </xf>
    <xf numFmtId="38" fontId="12" fillId="0" borderId="10" xfId="16" applyNumberFormat="1" applyFont="1" applyFill="1" applyBorder="1" applyAlignment="1" applyProtection="1">
      <alignment horizontal="left"/>
    </xf>
    <xf numFmtId="38" fontId="12" fillId="0" borderId="23" xfId="16" applyNumberFormat="1" applyFont="1" applyFill="1" applyBorder="1" applyAlignment="1" applyProtection="1">
      <alignment horizontal="left"/>
    </xf>
    <xf numFmtId="0" fontId="13" fillId="6" borderId="11" xfId="1" applyFont="1" applyFill="1" applyBorder="1" applyAlignment="1" applyProtection="1">
      <alignment horizontal="center"/>
    </xf>
    <xf numFmtId="0" fontId="13" fillId="6" borderId="12" xfId="1" applyFont="1" applyFill="1" applyBorder="1" applyAlignment="1" applyProtection="1">
      <alignment horizontal="center"/>
    </xf>
    <xf numFmtId="0" fontId="13" fillId="6" borderId="13" xfId="1" applyFont="1" applyFill="1" applyBorder="1" applyAlignment="1" applyProtection="1">
      <alignment horizontal="center"/>
    </xf>
    <xf numFmtId="0" fontId="13" fillId="0" borderId="18" xfId="1" applyFont="1" applyFill="1" applyBorder="1" applyAlignment="1" applyProtection="1">
      <alignment horizontal="center" vertical="top" wrapText="1"/>
    </xf>
    <xf numFmtId="0" fontId="13" fillId="0" borderId="21" xfId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Alignment="1" applyProtection="1">
      <alignment horizontal="center"/>
    </xf>
    <xf numFmtId="0" fontId="13" fillId="7" borderId="11" xfId="1" applyFont="1" applyFill="1" applyBorder="1" applyAlignment="1" applyProtection="1">
      <alignment horizontal="center"/>
    </xf>
    <xf numFmtId="0" fontId="13" fillId="7" borderId="12" xfId="1" applyFont="1" applyFill="1" applyBorder="1" applyAlignment="1" applyProtection="1">
      <alignment horizontal="center"/>
    </xf>
    <xf numFmtId="0" fontId="13" fillId="7" borderId="13" xfId="1" applyFont="1" applyFill="1" applyBorder="1" applyAlignment="1" applyProtection="1">
      <alignment horizontal="center"/>
    </xf>
    <xf numFmtId="38" fontId="12" fillId="0" borderId="10" xfId="19" applyNumberFormat="1" applyFont="1" applyFill="1" applyBorder="1" applyAlignment="1">
      <alignment horizontal="left"/>
    </xf>
    <xf numFmtId="38" fontId="12" fillId="0" borderId="23" xfId="19" applyNumberFormat="1" applyFont="1" applyFill="1" applyBorder="1" applyAlignment="1">
      <alignment horizontal="left"/>
    </xf>
    <xf numFmtId="0" fontId="13" fillId="8" borderId="11" xfId="1" applyFont="1" applyFill="1" applyBorder="1" applyAlignment="1" applyProtection="1">
      <alignment horizontal="center"/>
    </xf>
    <xf numFmtId="0" fontId="13" fillId="8" borderId="12" xfId="1" applyFont="1" applyFill="1" applyBorder="1" applyAlignment="1" applyProtection="1">
      <alignment horizontal="center"/>
    </xf>
    <xf numFmtId="0" fontId="13" fillId="8" borderId="13" xfId="1" applyFont="1" applyFill="1" applyBorder="1" applyAlignment="1" applyProtection="1">
      <alignment horizontal="center"/>
    </xf>
    <xf numFmtId="0" fontId="13" fillId="9" borderId="11" xfId="1" applyFont="1" applyFill="1" applyBorder="1" applyAlignment="1" applyProtection="1">
      <alignment horizontal="center" vertical="center"/>
    </xf>
    <xf numFmtId="0" fontId="13" fillId="9" borderId="12" xfId="1" applyFont="1" applyFill="1" applyBorder="1" applyAlignment="1" applyProtection="1">
      <alignment horizontal="center" vertical="center"/>
    </xf>
    <xf numFmtId="0" fontId="13" fillId="9" borderId="13" xfId="1" applyFont="1" applyFill="1" applyBorder="1" applyAlignment="1" applyProtection="1">
      <alignment horizontal="center" vertical="center"/>
    </xf>
    <xf numFmtId="0" fontId="13" fillId="10" borderId="11" xfId="1" applyFont="1" applyFill="1" applyBorder="1" applyAlignment="1" applyProtection="1">
      <alignment horizontal="center"/>
    </xf>
    <xf numFmtId="0" fontId="13" fillId="10" borderId="12" xfId="1" applyFont="1" applyFill="1" applyBorder="1" applyAlignment="1" applyProtection="1">
      <alignment horizontal="center"/>
    </xf>
    <xf numFmtId="0" fontId="13" fillId="10" borderId="13" xfId="1" applyFont="1" applyFill="1" applyBorder="1" applyAlignment="1" applyProtection="1">
      <alignment horizontal="center"/>
    </xf>
    <xf numFmtId="0" fontId="13" fillId="0" borderId="6" xfId="1" applyFont="1" applyBorder="1" applyAlignment="1">
      <alignment horizontal="left"/>
    </xf>
    <xf numFmtId="0" fontId="13" fillId="0" borderId="24" xfId="1" applyFont="1" applyBorder="1" applyAlignment="1">
      <alignment horizontal="left"/>
    </xf>
    <xf numFmtId="0" fontId="13" fillId="0" borderId="6" xfId="1" applyFont="1" applyFill="1" applyBorder="1" applyAlignment="1" applyProtection="1">
      <alignment horizontal="left" wrapText="1"/>
    </xf>
    <xf numFmtId="0" fontId="13" fillId="0" borderId="24" xfId="1" applyFont="1" applyFill="1" applyBorder="1" applyAlignment="1" applyProtection="1">
      <alignment horizontal="left" wrapText="1"/>
    </xf>
    <xf numFmtId="8" fontId="14" fillId="2" borderId="20" xfId="30" applyNumberFormat="1" applyFont="1" applyFill="1" applyBorder="1" applyAlignment="1">
      <alignment horizontal="right"/>
    </xf>
    <xf numFmtId="38" fontId="22" fillId="2" borderId="23" xfId="23" applyNumberFormat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center"/>
    </xf>
    <xf numFmtId="0" fontId="22" fillId="2" borderId="10" xfId="1" applyFont="1" applyFill="1" applyBorder="1" applyAlignment="1" applyProtection="1">
      <alignment horizontal="center"/>
    </xf>
    <xf numFmtId="0" fontId="22" fillId="2" borderId="23" xfId="1" applyFont="1" applyFill="1" applyBorder="1" applyAlignment="1" applyProtection="1">
      <alignment horizontal="center"/>
    </xf>
    <xf numFmtId="8" fontId="12" fillId="2" borderId="2" xfId="30" applyNumberFormat="1" applyFont="1" applyFill="1" applyBorder="1" applyAlignment="1" applyProtection="1">
      <alignment horizontal="center"/>
    </xf>
    <xf numFmtId="44" fontId="12" fillId="2" borderId="16" xfId="30" applyFont="1" applyFill="1" applyBorder="1" applyAlignment="1" applyProtection="1">
      <alignment horizontal="center"/>
    </xf>
  </cellXfs>
  <cellStyles count="59">
    <cellStyle name="Comma" xfId="57" builtinId="3"/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21" xfId="58" xr:uid="{2A652C4B-013F-4AA2-B303-38A658BD6C41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6"/>
  <sheetViews>
    <sheetView topLeftCell="B1" zoomScaleNormal="100" zoomScaleSheetLayoutView="100" workbookViewId="0">
      <selection activeCell="G9" sqref="G9"/>
    </sheetView>
  </sheetViews>
  <sheetFormatPr defaultRowHeight="12.75" customHeight="1" x14ac:dyDescent="0.2"/>
  <cols>
    <col min="1" max="1" width="0" style="1" hidden="1" customWidth="1"/>
    <col min="2" max="2" width="6.77734375" style="2" customWidth="1"/>
    <col min="3" max="3" width="29.77734375" style="1" customWidth="1"/>
    <col min="4" max="4" width="11.77734375" style="1" customWidth="1"/>
    <col min="5" max="5" width="6.77734375" style="2" customWidth="1"/>
    <col min="6" max="6" width="6.77734375" style="4" customWidth="1"/>
    <col min="7" max="7" width="9.77734375" style="5" customWidth="1"/>
    <col min="8" max="8" width="11.77734375" style="5" customWidth="1"/>
    <col min="9" max="9" width="6" style="5" customWidth="1"/>
    <col min="10" max="10" width="12.88671875" style="2" hidden="1" customWidth="1"/>
    <col min="11" max="12" width="8.77734375" style="1" hidden="1" customWidth="1"/>
    <col min="13" max="13" width="9.88671875" style="1" hidden="1" customWidth="1"/>
    <col min="14" max="14" width="12.44140625" style="1" hidden="1" customWidth="1"/>
    <col min="15" max="16384" width="8.88671875" style="1"/>
  </cols>
  <sheetData>
    <row r="1" spans="1:14" ht="20.100000000000001" customHeight="1" x14ac:dyDescent="0.25">
      <c r="B1" s="460" t="s">
        <v>271</v>
      </c>
      <c r="C1" s="460"/>
    </row>
    <row r="2" spans="1:14" ht="20.100000000000001" customHeight="1" x14ac:dyDescent="0.25">
      <c r="B2" s="460" t="s">
        <v>272</v>
      </c>
      <c r="C2" s="460"/>
    </row>
    <row r="3" spans="1:14" ht="20.100000000000001" customHeight="1" x14ac:dyDescent="0.25">
      <c r="B3" s="460" t="s">
        <v>274</v>
      </c>
      <c r="C3" s="460"/>
      <c r="D3" s="460"/>
      <c r="E3" s="460"/>
    </row>
    <row r="4" spans="1:14" ht="20.100000000000001" customHeight="1" x14ac:dyDescent="0.25">
      <c r="B4" s="461" t="s">
        <v>273</v>
      </c>
      <c r="C4" s="461"/>
      <c r="D4" s="2"/>
      <c r="E4" s="4"/>
      <c r="F4" s="5"/>
      <c r="I4" s="2"/>
      <c r="J4" s="1"/>
    </row>
    <row r="5" spans="1:14" ht="33" customHeight="1" x14ac:dyDescent="0.25">
      <c r="B5" s="459" t="s">
        <v>282</v>
      </c>
      <c r="C5" s="459"/>
      <c r="D5" s="459"/>
      <c r="E5" s="459"/>
      <c r="F5" s="459"/>
      <c r="G5" s="459"/>
      <c r="H5" s="459"/>
      <c r="I5" s="2"/>
      <c r="J5" s="1"/>
    </row>
    <row r="6" spans="1:14" ht="12.95" customHeight="1" thickBot="1" x14ac:dyDescent="0.3">
      <c r="B6" s="300"/>
      <c r="C6" s="300"/>
      <c r="D6" s="3"/>
      <c r="E6" s="4"/>
      <c r="F6" s="5"/>
      <c r="H6" s="6"/>
      <c r="I6" s="2"/>
      <c r="J6" s="1"/>
    </row>
    <row r="7" spans="1:14" ht="12.95" customHeight="1" thickBot="1" x14ac:dyDescent="0.25">
      <c r="B7" s="428" t="s">
        <v>28</v>
      </c>
      <c r="C7" s="429"/>
      <c r="D7" s="429"/>
      <c r="E7" s="429"/>
      <c r="F7" s="429"/>
      <c r="G7" s="429"/>
      <c r="H7" s="430"/>
      <c r="I7" s="7"/>
    </row>
    <row r="8" spans="1:14" ht="39" thickBot="1" x14ac:dyDescent="0.25">
      <c r="B8" s="8" t="s">
        <v>12</v>
      </c>
      <c r="C8" s="431" t="s">
        <v>0</v>
      </c>
      <c r="D8" s="432"/>
      <c r="E8" s="9" t="s">
        <v>1</v>
      </c>
      <c r="F8" s="9" t="s">
        <v>2</v>
      </c>
      <c r="G8" s="9" t="s">
        <v>13</v>
      </c>
      <c r="H8" s="10" t="s">
        <v>14</v>
      </c>
      <c r="I8" s="11"/>
      <c r="J8" s="175" t="s">
        <v>168</v>
      </c>
      <c r="K8" s="12" t="s">
        <v>169</v>
      </c>
      <c r="L8" s="12" t="s">
        <v>170</v>
      </c>
      <c r="M8" s="12" t="s">
        <v>171</v>
      </c>
      <c r="N8" s="12" t="s">
        <v>172</v>
      </c>
    </row>
    <row r="9" spans="1:14" ht="12.95" customHeight="1" x14ac:dyDescent="0.2">
      <c r="A9" s="1" t="s">
        <v>44</v>
      </c>
      <c r="B9" s="13">
        <v>1</v>
      </c>
      <c r="C9" s="433" t="s">
        <v>8</v>
      </c>
      <c r="D9" s="434"/>
      <c r="E9" s="14" t="s">
        <v>9</v>
      </c>
      <c r="F9" s="375">
        <f>SUM('New 301 Ind Park 344'!F9,'Lakewood Meadows 388'!F9,'Mote Ranch 3 398'!F9,'41A 454'!F9,'Arnold Palmer Green 1 689'!F9)</f>
        <v>3058</v>
      </c>
      <c r="G9" s="16"/>
      <c r="H9" s="139">
        <f t="shared" ref="H9:H61" si="0">SUM(J9:N9)</f>
        <v>0</v>
      </c>
      <c r="I9" s="17"/>
      <c r="J9" s="249">
        <f>'New 301 Ind Park 344'!H9</f>
        <v>0</v>
      </c>
      <c r="K9" s="250">
        <f>'Lakewood Meadows 388'!H9</f>
        <v>0</v>
      </c>
      <c r="L9" s="249">
        <f>'Mote Ranch 3 398'!H9</f>
        <v>0</v>
      </c>
      <c r="M9" s="250">
        <f>'41A 454'!H9</f>
        <v>0</v>
      </c>
      <c r="N9" s="250">
        <f>'Arnold Palmer Green 1 689'!H9</f>
        <v>0</v>
      </c>
    </row>
    <row r="10" spans="1:14" ht="12.95" customHeight="1" x14ac:dyDescent="0.2">
      <c r="A10" s="1" t="s">
        <v>45</v>
      </c>
      <c r="B10" s="13">
        <f t="shared" ref="B10:B73" si="1">B9+1</f>
        <v>2</v>
      </c>
      <c r="C10" s="435" t="s">
        <v>105</v>
      </c>
      <c r="D10" s="436"/>
      <c r="E10" s="18" t="s">
        <v>5</v>
      </c>
      <c r="F10" s="375">
        <f>SUM('New 301 Ind Park 344'!F10,'Lakewood Meadows 388'!F10,'Mote Ranch 3 398'!F10,'41A 454'!F10,'Arnold Palmer Green 1 689'!F10)</f>
        <v>253</v>
      </c>
      <c r="G10" s="16"/>
      <c r="H10" s="139">
        <f t="shared" si="0"/>
        <v>0</v>
      </c>
      <c r="I10" s="17"/>
      <c r="J10" s="249">
        <f>'New 301 Ind Park 344'!H10</f>
        <v>0</v>
      </c>
      <c r="K10" s="250">
        <f>'Lakewood Meadows 388'!H10</f>
        <v>0</v>
      </c>
      <c r="L10" s="249">
        <f>'Mote Ranch 3 398'!H10</f>
        <v>0</v>
      </c>
      <c r="M10" s="250">
        <f>'41A 454'!H10</f>
        <v>0</v>
      </c>
      <c r="N10" s="250">
        <f>'Arnold Palmer Green 1 689'!H10</f>
        <v>0</v>
      </c>
    </row>
    <row r="11" spans="1:14" ht="12.95" customHeight="1" x14ac:dyDescent="0.2">
      <c r="A11" s="1" t="s">
        <v>46</v>
      </c>
      <c r="B11" s="13">
        <f t="shared" si="1"/>
        <v>3</v>
      </c>
      <c r="C11" s="435" t="s">
        <v>106</v>
      </c>
      <c r="D11" s="436"/>
      <c r="E11" s="18" t="s">
        <v>6</v>
      </c>
      <c r="F11" s="375">
        <f>SUM('New 301 Ind Park 344'!F11,'Lakewood Meadows 388'!F11,'Mote Ranch 3 398'!F11,'41A 454'!F11,'Arnold Palmer Green 1 689'!F11)</f>
        <v>11</v>
      </c>
      <c r="G11" s="16"/>
      <c r="H11" s="139">
        <f t="shared" si="0"/>
        <v>0</v>
      </c>
      <c r="I11" s="17"/>
      <c r="J11" s="249">
        <f>'New 301 Ind Park 344'!H11</f>
        <v>0</v>
      </c>
      <c r="K11" s="250">
        <f>'Lakewood Meadows 388'!H11</f>
        <v>0</v>
      </c>
      <c r="L11" s="249">
        <f>'Mote Ranch 3 398'!H11</f>
        <v>0</v>
      </c>
      <c r="M11" s="250">
        <f>'41A 454'!H11</f>
        <v>0</v>
      </c>
      <c r="N11" s="250">
        <f>'Arnold Palmer Green 1 689'!H11</f>
        <v>0</v>
      </c>
    </row>
    <row r="12" spans="1:14" ht="12.95" customHeight="1" x14ac:dyDescent="0.2">
      <c r="A12" s="1" t="s">
        <v>47</v>
      </c>
      <c r="B12" s="13">
        <f t="shared" si="1"/>
        <v>4</v>
      </c>
      <c r="C12" s="435" t="s">
        <v>107</v>
      </c>
      <c r="D12" s="436"/>
      <c r="E12" s="18" t="s">
        <v>6</v>
      </c>
      <c r="F12" s="375">
        <f>SUM('New 301 Ind Park 344'!F12,'Lakewood Meadows 388'!F12,'Mote Ranch 3 398'!F12,'41A 454'!F12,'Arnold Palmer Green 1 689'!F12)</f>
        <v>11</v>
      </c>
      <c r="G12" s="16"/>
      <c r="H12" s="139">
        <f t="shared" si="0"/>
        <v>0</v>
      </c>
      <c r="I12" s="17"/>
      <c r="J12" s="249">
        <f>'New 301 Ind Park 344'!H12</f>
        <v>0</v>
      </c>
      <c r="K12" s="250">
        <f>'Lakewood Meadows 388'!H12</f>
        <v>0</v>
      </c>
      <c r="L12" s="249">
        <f>'Mote Ranch 3 398'!H12</f>
        <v>0</v>
      </c>
      <c r="M12" s="250">
        <f>'41A 454'!H12</f>
        <v>0</v>
      </c>
      <c r="N12" s="250">
        <f>'Arnold Palmer Green 1 689'!H12</f>
        <v>0</v>
      </c>
    </row>
    <row r="13" spans="1:14" ht="12.95" customHeight="1" x14ac:dyDescent="0.2">
      <c r="A13" s="1" t="s">
        <v>48</v>
      </c>
      <c r="B13" s="13">
        <f t="shared" si="1"/>
        <v>5</v>
      </c>
      <c r="C13" s="435" t="s">
        <v>31</v>
      </c>
      <c r="D13" s="436"/>
      <c r="E13" s="18" t="s">
        <v>6</v>
      </c>
      <c r="F13" s="375">
        <f>SUM('New 301 Ind Park 344'!F13,'Lakewood Meadows 388'!F13,'Mote Ranch 3 398'!F13,'41A 454'!F13,'Arnold Palmer Green 1 689'!F13)</f>
        <v>15</v>
      </c>
      <c r="G13" s="16"/>
      <c r="H13" s="139">
        <f t="shared" si="0"/>
        <v>0</v>
      </c>
      <c r="I13" s="17"/>
      <c r="J13" s="249">
        <f>'New 301 Ind Park 344'!H13</f>
        <v>0</v>
      </c>
      <c r="K13" s="250">
        <f>'Lakewood Meadows 388'!H13</f>
        <v>0</v>
      </c>
      <c r="L13" s="249">
        <f>'Mote Ranch 3 398'!H13</f>
        <v>0</v>
      </c>
      <c r="M13" s="250">
        <f>'41A 454'!H13</f>
        <v>0</v>
      </c>
      <c r="N13" s="250">
        <f>'Arnold Palmer Green 1 689'!H13</f>
        <v>0</v>
      </c>
    </row>
    <row r="14" spans="1:14" ht="12.95" customHeight="1" x14ac:dyDescent="0.2">
      <c r="A14" s="1" t="s">
        <v>49</v>
      </c>
      <c r="B14" s="87">
        <f>B13+1</f>
        <v>6</v>
      </c>
      <c r="C14" s="435" t="s">
        <v>164</v>
      </c>
      <c r="D14" s="436"/>
      <c r="E14" s="165"/>
      <c r="F14" s="376"/>
      <c r="G14" s="167"/>
      <c r="H14" s="168"/>
      <c r="I14" s="19"/>
      <c r="J14" s="249"/>
      <c r="K14" s="250"/>
      <c r="L14" s="249"/>
      <c r="M14" s="250"/>
      <c r="N14" s="250"/>
    </row>
    <row r="15" spans="1:14" ht="12.95" customHeight="1" x14ac:dyDescent="0.2">
      <c r="B15" s="164">
        <f>B14+0.1</f>
        <v>6.1</v>
      </c>
      <c r="C15" s="188" t="s">
        <v>165</v>
      </c>
      <c r="D15" s="189"/>
      <c r="E15" s="18" t="s">
        <v>27</v>
      </c>
      <c r="F15" s="375">
        <f>SUM('New 301 Ind Park 344'!F15,'Lakewood Meadows 388'!F15,'Mote Ranch 3 398'!F15,'41A 454'!F15,'Arnold Palmer Green 1 689'!F15)</f>
        <v>2.5</v>
      </c>
      <c r="G15" s="157"/>
      <c r="H15" s="153">
        <f t="shared" si="0"/>
        <v>0</v>
      </c>
      <c r="I15" s="19"/>
      <c r="J15" s="249">
        <f>'New 301 Ind Park 344'!H15</f>
        <v>0</v>
      </c>
      <c r="K15" s="250">
        <f>'Lakewood Meadows 388'!H15</f>
        <v>0</v>
      </c>
      <c r="L15" s="249">
        <f>'Mote Ranch 3 398'!H15</f>
        <v>0</v>
      </c>
      <c r="M15" s="250">
        <f>'41A 454'!H15</f>
        <v>0</v>
      </c>
      <c r="N15" s="250">
        <f>'Arnold Palmer Green 1 689'!H15</f>
        <v>0</v>
      </c>
    </row>
    <row r="16" spans="1:14" ht="12.95" customHeight="1" x14ac:dyDescent="0.2">
      <c r="B16" s="87">
        <f>B14+1</f>
        <v>7</v>
      </c>
      <c r="C16" s="435" t="s">
        <v>167</v>
      </c>
      <c r="D16" s="436"/>
      <c r="E16" s="165"/>
      <c r="F16" s="376"/>
      <c r="G16" s="167"/>
      <c r="H16" s="168"/>
      <c r="I16" s="19"/>
      <c r="J16" s="249"/>
      <c r="K16" s="250"/>
      <c r="L16" s="249"/>
      <c r="M16" s="250"/>
      <c r="N16" s="250"/>
    </row>
    <row r="17" spans="1:14" ht="12.95" customHeight="1" x14ac:dyDescent="0.2">
      <c r="A17" s="1" t="s">
        <v>50</v>
      </c>
      <c r="B17" s="164">
        <f>B16+0.1</f>
        <v>7.1</v>
      </c>
      <c r="C17" s="435" t="s">
        <v>165</v>
      </c>
      <c r="D17" s="436"/>
      <c r="E17" s="18" t="s">
        <v>6</v>
      </c>
      <c r="F17" s="375">
        <f>SUM('New 301 Ind Park 344'!F17,'Lakewood Meadows 388'!F17,'Mote Ranch 3 398'!F17,'41A 454'!F17,'Arnold Palmer Green 1 689'!F17)</f>
        <v>4</v>
      </c>
      <c r="G17" s="158"/>
      <c r="H17" s="153">
        <f t="shared" si="0"/>
        <v>0</v>
      </c>
      <c r="J17" s="249">
        <f>'New 301 Ind Park 344'!H17</f>
        <v>0</v>
      </c>
      <c r="K17" s="250">
        <f>'Lakewood Meadows 388'!H17</f>
        <v>0</v>
      </c>
      <c r="L17" s="249">
        <f>'Mote Ranch 3 398'!H17</f>
        <v>0</v>
      </c>
      <c r="M17" s="250">
        <f>'41A 454'!H17</f>
        <v>0</v>
      </c>
      <c r="N17" s="250">
        <f>'Arnold Palmer Green 1 689'!H17</f>
        <v>0</v>
      </c>
    </row>
    <row r="18" spans="1:14" ht="12.95" customHeight="1" x14ac:dyDescent="0.2">
      <c r="B18" s="164">
        <f>B17+0.1</f>
        <v>7.1999999999999993</v>
      </c>
      <c r="C18" s="435" t="s">
        <v>166</v>
      </c>
      <c r="D18" s="436"/>
      <c r="E18" s="18" t="s">
        <v>6</v>
      </c>
      <c r="F18" s="375">
        <f>SUM('New 301 Ind Park 344'!F18,'Lakewood Meadows 388'!F18,'Mote Ranch 3 398'!F18,'41A 454'!F18,'Arnold Palmer Green 1 689'!F18)</f>
        <v>1</v>
      </c>
      <c r="G18" s="158"/>
      <c r="H18" s="153">
        <f t="shared" si="0"/>
        <v>0</v>
      </c>
      <c r="J18" s="249">
        <f>'New 301 Ind Park 344'!H18</f>
        <v>0</v>
      </c>
      <c r="K18" s="250">
        <f>'Lakewood Meadows 388'!H18</f>
        <v>0</v>
      </c>
      <c r="L18" s="249">
        <f>'Mote Ranch 3 398'!H18</f>
        <v>0</v>
      </c>
      <c r="M18" s="250">
        <f>'41A 454'!H18</f>
        <v>0</v>
      </c>
      <c r="N18" s="250">
        <f>'Arnold Palmer Green 1 689'!H18</f>
        <v>0</v>
      </c>
    </row>
    <row r="19" spans="1:14" ht="12.95" customHeight="1" x14ac:dyDescent="0.2">
      <c r="B19" s="87">
        <f>B16+1</f>
        <v>8</v>
      </c>
      <c r="C19" s="435" t="s">
        <v>173</v>
      </c>
      <c r="D19" s="436"/>
      <c r="E19" s="18" t="s">
        <v>6</v>
      </c>
      <c r="F19" s="375">
        <f>SUM('New 301 Ind Park 344'!F19,'Lakewood Meadows 388'!F19,'Mote Ranch 3 398'!F19,'41A 454'!F19,'Arnold Palmer Green 1 689'!F19)</f>
        <v>4</v>
      </c>
      <c r="G19" s="158"/>
      <c r="H19" s="153">
        <f t="shared" si="0"/>
        <v>0</v>
      </c>
      <c r="J19" s="249">
        <f>'New 301 Ind Park 344'!H19</f>
        <v>0</v>
      </c>
      <c r="K19" s="250">
        <f>'Lakewood Meadows 388'!H19</f>
        <v>0</v>
      </c>
      <c r="L19" s="249">
        <f>'Mote Ranch 3 398'!H19</f>
        <v>0</v>
      </c>
      <c r="M19" s="250">
        <f>'41A 454'!H19</f>
        <v>0</v>
      </c>
      <c r="N19" s="250">
        <f>'Arnold Palmer Green 1 689'!H19</f>
        <v>0</v>
      </c>
    </row>
    <row r="20" spans="1:14" ht="12.95" customHeight="1" x14ac:dyDescent="0.2">
      <c r="A20" s="1" t="s">
        <v>51</v>
      </c>
      <c r="B20" s="13">
        <f t="shared" si="1"/>
        <v>9</v>
      </c>
      <c r="C20" s="452" t="s">
        <v>159</v>
      </c>
      <c r="D20" s="453"/>
      <c r="E20" s="18" t="s">
        <v>6</v>
      </c>
      <c r="F20" s="375">
        <f>SUM('New 301 Ind Park 344'!F20,'Lakewood Meadows 388'!F20,'Mote Ranch 3 398'!F20,'41A 454'!F20,'Arnold Palmer Green 1 689'!F20)</f>
        <v>4</v>
      </c>
      <c r="G20" s="20"/>
      <c r="H20" s="139">
        <f t="shared" si="0"/>
        <v>0</v>
      </c>
      <c r="J20" s="249">
        <f>'New 301 Ind Park 344'!H20</f>
        <v>0</v>
      </c>
      <c r="K20" s="250">
        <f>'Lakewood Meadows 388'!H20</f>
        <v>0</v>
      </c>
      <c r="L20" s="249">
        <f>'Mote Ranch 3 398'!H20</f>
        <v>0</v>
      </c>
      <c r="M20" s="250">
        <f>'41A 454'!H20</f>
        <v>0</v>
      </c>
      <c r="N20" s="250">
        <f>'Arnold Palmer Green 1 689'!H20</f>
        <v>0</v>
      </c>
    </row>
    <row r="21" spans="1:14" ht="12.95" customHeight="1" x14ac:dyDescent="0.2">
      <c r="A21" s="1" t="s">
        <v>51</v>
      </c>
      <c r="B21" s="13">
        <f t="shared" si="1"/>
        <v>10</v>
      </c>
      <c r="C21" s="452" t="s">
        <v>88</v>
      </c>
      <c r="D21" s="453"/>
      <c r="E21" s="18" t="s">
        <v>6</v>
      </c>
      <c r="F21" s="375">
        <f>SUM('New 301 Ind Park 344'!F21,'Lakewood Meadows 388'!F21,'Mote Ranch 3 398'!F21,'41A 454'!F21,'Arnold Palmer Green 1 689'!F21)</f>
        <v>1</v>
      </c>
      <c r="G21" s="20"/>
      <c r="H21" s="139">
        <f t="shared" si="0"/>
        <v>0</v>
      </c>
      <c r="J21" s="249">
        <f>'New 301 Ind Park 344'!H21</f>
        <v>0</v>
      </c>
      <c r="K21" s="250">
        <f>'Lakewood Meadows 388'!H21</f>
        <v>0</v>
      </c>
      <c r="L21" s="249">
        <f>'Mote Ranch 3 398'!H21</f>
        <v>0</v>
      </c>
      <c r="M21" s="250">
        <f>'41A 454'!H21</f>
        <v>0</v>
      </c>
      <c r="N21" s="250" t="str">
        <f>'Arnold Palmer Green 1 689'!H21</f>
        <v xml:space="preserve"> </v>
      </c>
    </row>
    <row r="22" spans="1:14" ht="12.95" customHeight="1" x14ac:dyDescent="0.2">
      <c r="A22" s="1" t="s">
        <v>52</v>
      </c>
      <c r="B22" s="13">
        <f t="shared" si="1"/>
        <v>11</v>
      </c>
      <c r="C22" s="184" t="s">
        <v>85</v>
      </c>
      <c r="D22" s="185"/>
      <c r="E22" s="18" t="s">
        <v>5</v>
      </c>
      <c r="F22" s="375">
        <f>SUM('New 301 Ind Park 344'!F22,'Lakewood Meadows 388'!F22,'Mote Ranch 3 398'!F22,'41A 454'!F22,'Arnold Palmer Green 1 689'!F22)</f>
        <v>227</v>
      </c>
      <c r="G22" s="16"/>
      <c r="H22" s="139">
        <f t="shared" si="0"/>
        <v>0</v>
      </c>
      <c r="I22" s="19"/>
      <c r="J22" s="249">
        <f>'New 301 Ind Park 344'!H22</f>
        <v>0</v>
      </c>
      <c r="K22" s="250">
        <f>'Lakewood Meadows 388'!H22</f>
        <v>0</v>
      </c>
      <c r="L22" s="249">
        <f>'Mote Ranch 3 398'!H22</f>
        <v>0</v>
      </c>
      <c r="M22" s="250">
        <f>'41A 454'!H22</f>
        <v>0</v>
      </c>
      <c r="N22" s="250">
        <f>'Arnold Palmer Green 1 689'!H22</f>
        <v>0</v>
      </c>
    </row>
    <row r="23" spans="1:14" ht="12.95" customHeight="1" x14ac:dyDescent="0.2">
      <c r="A23" s="1" t="s">
        <v>53</v>
      </c>
      <c r="B23" s="13">
        <f t="shared" si="1"/>
        <v>12</v>
      </c>
      <c r="C23" s="435" t="s">
        <v>32</v>
      </c>
      <c r="D23" s="436"/>
      <c r="E23" s="18" t="s">
        <v>6</v>
      </c>
      <c r="F23" s="375">
        <f>SUM('New 301 Ind Park 344'!F23,'Lakewood Meadows 388'!F23,'Mote Ranch 3 398'!F23,'41A 454'!F23,'Arnold Palmer Green 1 689'!F23)</f>
        <v>5</v>
      </c>
      <c r="G23" s="16"/>
      <c r="H23" s="139">
        <f t="shared" si="0"/>
        <v>0</v>
      </c>
      <c r="I23" s="19"/>
      <c r="J23" s="249">
        <f>'New 301 Ind Park 344'!H23</f>
        <v>0</v>
      </c>
      <c r="K23" s="250">
        <f>'Lakewood Meadows 388'!H23</f>
        <v>0</v>
      </c>
      <c r="L23" s="249">
        <f>'Mote Ranch 3 398'!H23</f>
        <v>0</v>
      </c>
      <c r="M23" s="250">
        <f>'41A 454'!H23</f>
        <v>0</v>
      </c>
      <c r="N23" s="250">
        <f>'Arnold Palmer Green 1 689'!H23</f>
        <v>0</v>
      </c>
    </row>
    <row r="24" spans="1:14" ht="12.75" customHeight="1" x14ac:dyDescent="0.2">
      <c r="A24" s="1" t="s">
        <v>67</v>
      </c>
      <c r="B24" s="13">
        <f t="shared" si="1"/>
        <v>13</v>
      </c>
      <c r="C24" s="450" t="s">
        <v>227</v>
      </c>
      <c r="D24" s="451"/>
      <c r="E24" s="78" t="s">
        <v>9</v>
      </c>
      <c r="F24" s="375">
        <f>SUM('New 301 Ind Park 344'!F24,'Lakewood Meadows 388'!F24,'Mote Ranch 3 398'!F24,'41A 454'!F24,'Arnold Palmer Green 1 689'!F24)</f>
        <v>1776</v>
      </c>
      <c r="G24" s="22"/>
      <c r="H24" s="139">
        <f t="shared" si="0"/>
        <v>0</v>
      </c>
      <c r="J24" s="249">
        <f>'New 301 Ind Park 344'!H24</f>
        <v>0</v>
      </c>
      <c r="K24" s="250">
        <f>'Lakewood Meadows 388'!H24</f>
        <v>0</v>
      </c>
      <c r="L24" s="249">
        <f>'Mote Ranch 3 398'!H24</f>
        <v>0</v>
      </c>
      <c r="M24" s="250">
        <f>'41A 454'!H24</f>
        <v>0</v>
      </c>
      <c r="N24" s="250">
        <f>'Arnold Palmer Green 1 689'!H24</f>
        <v>0</v>
      </c>
    </row>
    <row r="25" spans="1:14" ht="12.95" customHeight="1" x14ac:dyDescent="0.2">
      <c r="B25" s="13">
        <f t="shared" si="1"/>
        <v>14</v>
      </c>
      <c r="C25" s="435" t="s">
        <v>138</v>
      </c>
      <c r="D25" s="436"/>
      <c r="E25" s="18" t="s">
        <v>9</v>
      </c>
      <c r="F25" s="375">
        <f>SUM('New 301 Ind Park 344'!F25,'Lakewood Meadows 388'!F25,'Mote Ranch 3 398'!F25,'41A 454'!F25,'Arnold Palmer Green 1 689'!F25)</f>
        <v>2192</v>
      </c>
      <c r="G25" s="16"/>
      <c r="H25" s="139">
        <f t="shared" si="0"/>
        <v>0</v>
      </c>
      <c r="I25" s="19"/>
      <c r="J25" s="249">
        <f>'New 301 Ind Park 344'!H25</f>
        <v>0</v>
      </c>
      <c r="K25" s="250">
        <f>'Lakewood Meadows 388'!H25</f>
        <v>0</v>
      </c>
      <c r="L25" s="249">
        <f>'Mote Ranch 3 398'!H25</f>
        <v>0</v>
      </c>
      <c r="M25" s="250">
        <f>'41A 454'!H25</f>
        <v>0</v>
      </c>
      <c r="N25" s="250">
        <f>'Arnold Palmer Green 1 689'!H25</f>
        <v>0</v>
      </c>
    </row>
    <row r="26" spans="1:14" ht="12.95" customHeight="1" x14ac:dyDescent="0.2">
      <c r="A26" s="1" t="s">
        <v>54</v>
      </c>
      <c r="B26" s="13">
        <f t="shared" si="1"/>
        <v>15</v>
      </c>
      <c r="C26" s="435" t="s">
        <v>36</v>
      </c>
      <c r="D26" s="436"/>
      <c r="E26" s="18" t="s">
        <v>6</v>
      </c>
      <c r="F26" s="375">
        <f>SUM('New 301 Ind Park 344'!F26,'Lakewood Meadows 388'!F26,'Mote Ranch 3 398'!F26,'41A 454'!F26,'Arnold Palmer Green 1 689'!F26)</f>
        <v>1</v>
      </c>
      <c r="G26" s="16"/>
      <c r="H26" s="139">
        <f t="shared" si="0"/>
        <v>0</v>
      </c>
      <c r="I26" s="19"/>
      <c r="J26" s="249">
        <f>'New 301 Ind Park 344'!H26</f>
        <v>0</v>
      </c>
      <c r="K26" s="250">
        <f>'Lakewood Meadows 388'!H26</f>
        <v>0</v>
      </c>
      <c r="L26" s="249">
        <f>'Mote Ranch 3 398'!H26</f>
        <v>0</v>
      </c>
      <c r="M26" s="250">
        <f>'41A 454'!H26</f>
        <v>0</v>
      </c>
      <c r="N26" s="250">
        <f>'Arnold Palmer Green 1 689'!H26</f>
        <v>0</v>
      </c>
    </row>
    <row r="27" spans="1:14" ht="12.95" customHeight="1" x14ac:dyDescent="0.2">
      <c r="B27" s="13">
        <f t="shared" si="1"/>
        <v>16</v>
      </c>
      <c r="C27" s="178" t="s">
        <v>84</v>
      </c>
      <c r="D27" s="179"/>
      <c r="E27" s="18" t="s">
        <v>6</v>
      </c>
      <c r="F27" s="375">
        <f>SUM('New 301 Ind Park 344'!F27,'Lakewood Meadows 388'!F27,'Mote Ranch 3 398'!F27,'41A 454'!F27,'Arnold Palmer Green 1 689'!F27)</f>
        <v>3</v>
      </c>
      <c r="G27" s="16"/>
      <c r="H27" s="139">
        <f t="shared" si="0"/>
        <v>0</v>
      </c>
      <c r="I27" s="19"/>
      <c r="J27" s="249">
        <f>'New 301 Ind Park 344'!H27</f>
        <v>0</v>
      </c>
      <c r="K27" s="250">
        <f>'Lakewood Meadows 388'!H27</f>
        <v>0</v>
      </c>
      <c r="L27" s="249">
        <f>'Mote Ranch 3 398'!H27</f>
        <v>0</v>
      </c>
      <c r="M27" s="250">
        <f>'41A 454'!H27</f>
        <v>0</v>
      </c>
      <c r="N27" s="250">
        <f>'Arnold Palmer Green 1 689'!H27</f>
        <v>0</v>
      </c>
    </row>
    <row r="28" spans="1:14" ht="12.95" customHeight="1" x14ac:dyDescent="0.2">
      <c r="A28" s="1" t="s">
        <v>55</v>
      </c>
      <c r="B28" s="13">
        <f t="shared" si="1"/>
        <v>17</v>
      </c>
      <c r="C28" s="435" t="s">
        <v>114</v>
      </c>
      <c r="D28" s="436"/>
      <c r="E28" s="18" t="s">
        <v>6</v>
      </c>
      <c r="F28" s="375">
        <f>SUM('New 301 Ind Park 344'!F28,'Lakewood Meadows 388'!F28,'Mote Ranch 3 398'!F28,'41A 454'!F28,'Arnold Palmer Green 1 689'!F28)</f>
        <v>12</v>
      </c>
      <c r="G28" s="16"/>
      <c r="H28" s="139">
        <f t="shared" si="0"/>
        <v>0</v>
      </c>
      <c r="I28" s="23"/>
      <c r="J28" s="249">
        <f>'New 301 Ind Park 344'!H28</f>
        <v>0</v>
      </c>
      <c r="K28" s="250">
        <f>'Lakewood Meadows 388'!H28</f>
        <v>0</v>
      </c>
      <c r="L28" s="249">
        <f>'Mote Ranch 3 398'!H28</f>
        <v>0</v>
      </c>
      <c r="M28" s="250">
        <f>'41A 454'!H28</f>
        <v>0</v>
      </c>
      <c r="N28" s="250">
        <f>'Arnold Palmer Green 1 689'!H28</f>
        <v>0</v>
      </c>
    </row>
    <row r="29" spans="1:14" ht="12.95" customHeight="1" x14ac:dyDescent="0.2">
      <c r="A29" s="1" t="s">
        <v>56</v>
      </c>
      <c r="B29" s="13">
        <f t="shared" si="1"/>
        <v>18</v>
      </c>
      <c r="C29" s="435" t="s">
        <v>115</v>
      </c>
      <c r="D29" s="436"/>
      <c r="E29" s="18" t="s">
        <v>6</v>
      </c>
      <c r="F29" s="375">
        <f>SUM('New 301 Ind Park 344'!F29,'Lakewood Meadows 388'!F29,'Mote Ranch 3 398'!F29,'41A 454'!F29,'Arnold Palmer Green 1 689'!F29)</f>
        <v>8</v>
      </c>
      <c r="G29" s="16"/>
      <c r="H29" s="139">
        <f t="shared" si="0"/>
        <v>0</v>
      </c>
      <c r="I29" s="19"/>
      <c r="J29" s="249">
        <f>'New 301 Ind Park 344'!H29</f>
        <v>0</v>
      </c>
      <c r="K29" s="250">
        <f>'Lakewood Meadows 388'!H29</f>
        <v>0</v>
      </c>
      <c r="L29" s="249">
        <f>'Mote Ranch 3 398'!H29</f>
        <v>0</v>
      </c>
      <c r="M29" s="250">
        <f>'41A 454'!H29</f>
        <v>0</v>
      </c>
      <c r="N29" s="250">
        <f>'Arnold Palmer Green 1 689'!H29</f>
        <v>0</v>
      </c>
    </row>
    <row r="30" spans="1:14" ht="12.95" customHeight="1" x14ac:dyDescent="0.2">
      <c r="A30" s="1" t="s">
        <v>62</v>
      </c>
      <c r="B30" s="13">
        <f t="shared" si="1"/>
        <v>19</v>
      </c>
      <c r="C30" s="435" t="s">
        <v>69</v>
      </c>
      <c r="D30" s="458"/>
      <c r="E30" s="18" t="s">
        <v>6</v>
      </c>
      <c r="F30" s="375">
        <f>SUM('New 301 Ind Park 344'!F30,'Lakewood Meadows 388'!F30,'Mote Ranch 3 398'!F30,'41A 454'!F30,'Arnold Palmer Green 1 689'!F30)</f>
        <v>4</v>
      </c>
      <c r="G30" s="16"/>
      <c r="H30" s="139">
        <f t="shared" si="0"/>
        <v>0</v>
      </c>
      <c r="I30" s="27"/>
      <c r="J30" s="249">
        <f>'New 301 Ind Park 344'!H30</f>
        <v>0</v>
      </c>
      <c r="K30" s="250">
        <f>'Lakewood Meadows 388'!H30</f>
        <v>0</v>
      </c>
      <c r="L30" s="249">
        <f>'Mote Ranch 3 398'!H30</f>
        <v>0</v>
      </c>
      <c r="M30" s="250">
        <f>'41A 454'!H30</f>
        <v>0</v>
      </c>
      <c r="N30" s="250">
        <f>'Arnold Palmer Green 1 689'!H30</f>
        <v>0</v>
      </c>
    </row>
    <row r="31" spans="1:14" ht="12.95" customHeight="1" x14ac:dyDescent="0.2">
      <c r="A31" s="1" t="s">
        <v>57</v>
      </c>
      <c r="B31" s="13">
        <f t="shared" si="1"/>
        <v>20</v>
      </c>
      <c r="C31" s="445" t="s">
        <v>116</v>
      </c>
      <c r="D31" s="446"/>
      <c r="E31" s="18" t="s">
        <v>5</v>
      </c>
      <c r="F31" s="375">
        <f>SUM('New 301 Ind Park 344'!F31,'Lakewood Meadows 388'!F31,'Mote Ranch 3 398'!F31,'41A 454'!F31,'Arnold Palmer Green 1 689'!F31)</f>
        <v>15</v>
      </c>
      <c r="G31" s="16"/>
      <c r="H31" s="139">
        <f t="shared" si="0"/>
        <v>0</v>
      </c>
      <c r="I31" s="19"/>
      <c r="J31" s="249">
        <f>'New 301 Ind Park 344'!H31</f>
        <v>0</v>
      </c>
      <c r="K31" s="250">
        <f>'Lakewood Meadows 388'!H31</f>
        <v>0</v>
      </c>
      <c r="L31" s="249">
        <f>'Mote Ranch 3 398'!H31</f>
        <v>0</v>
      </c>
      <c r="M31" s="250">
        <f>'41A 454'!H31</f>
        <v>0</v>
      </c>
      <c r="N31" s="250">
        <f>'Arnold Palmer Green 1 689'!H31</f>
        <v>0</v>
      </c>
    </row>
    <row r="32" spans="1:14" ht="12.95" customHeight="1" x14ac:dyDescent="0.2">
      <c r="A32" s="1" t="s">
        <v>63</v>
      </c>
      <c r="B32" s="13">
        <f t="shared" si="1"/>
        <v>21</v>
      </c>
      <c r="C32" s="435" t="s">
        <v>131</v>
      </c>
      <c r="D32" s="436"/>
      <c r="E32" s="18" t="s">
        <v>5</v>
      </c>
      <c r="F32" s="375">
        <f>SUM('New 301 Ind Park 344'!F32,'Lakewood Meadows 388'!F32,'Mote Ranch 3 398'!F32,'41A 454'!F32,'Arnold Palmer Green 1 689'!F32)</f>
        <v>55</v>
      </c>
      <c r="G32" s="16"/>
      <c r="H32" s="139">
        <f t="shared" si="0"/>
        <v>0</v>
      </c>
      <c r="I32" s="24"/>
      <c r="J32" s="249">
        <f>'New 301 Ind Park 344'!H32</f>
        <v>0</v>
      </c>
      <c r="K32" s="250">
        <f>'Lakewood Meadows 388'!H32</f>
        <v>0</v>
      </c>
      <c r="L32" s="249">
        <f>'Mote Ranch 3 398'!H32</f>
        <v>0</v>
      </c>
      <c r="M32" s="250">
        <f>'41A 454'!H32</f>
        <v>0</v>
      </c>
      <c r="N32" s="250">
        <f>'Arnold Palmer Green 1 689'!H32</f>
        <v>0</v>
      </c>
    </row>
    <row r="33" spans="1:14" ht="12.95" customHeight="1" x14ac:dyDescent="0.2">
      <c r="A33" s="1" t="s">
        <v>58</v>
      </c>
      <c r="B33" s="13">
        <f>B32+1</f>
        <v>22</v>
      </c>
      <c r="C33" s="445" t="s">
        <v>179</v>
      </c>
      <c r="D33" s="446"/>
      <c r="E33" s="165"/>
      <c r="F33" s="376"/>
      <c r="G33" s="169"/>
      <c r="H33" s="170"/>
      <c r="I33" s="19"/>
      <c r="J33" s="249">
        <f>'New 301 Ind Park 344'!H33</f>
        <v>0</v>
      </c>
      <c r="K33" s="250">
        <f>'Lakewood Meadows 388'!H33</f>
        <v>0</v>
      </c>
      <c r="L33" s="249">
        <f>'Mote Ranch 3 398'!H33</f>
        <v>0</v>
      </c>
      <c r="M33" s="250">
        <f>'41A 454'!H33</f>
        <v>0</v>
      </c>
      <c r="N33" s="250">
        <f>'Arnold Palmer Green 1 689'!H33</f>
        <v>0</v>
      </c>
    </row>
    <row r="34" spans="1:14" ht="12.95" customHeight="1" x14ac:dyDescent="0.2">
      <c r="B34" s="164">
        <f>B33+0.1</f>
        <v>22.1</v>
      </c>
      <c r="C34" s="186" t="s">
        <v>180</v>
      </c>
      <c r="D34" s="187"/>
      <c r="E34" s="18" t="s">
        <v>6</v>
      </c>
      <c r="F34" s="375">
        <f>SUM('New 301 Ind Park 344'!F34,'Lakewood Meadows 388'!F34,'Mote Ranch 3 398'!F34,'41A 454'!F34,'Arnold Palmer Green 1 689'!F34)</f>
        <v>6</v>
      </c>
      <c r="G34" s="16"/>
      <c r="H34" s="139">
        <f t="shared" si="0"/>
        <v>0</v>
      </c>
      <c r="I34" s="19"/>
      <c r="J34" s="249">
        <f>'New 301 Ind Park 344'!H34</f>
        <v>0</v>
      </c>
      <c r="K34" s="250">
        <f>'Lakewood Meadows 388'!H34</f>
        <v>0</v>
      </c>
      <c r="L34" s="249">
        <f>'Mote Ranch 3 398'!H34</f>
        <v>0</v>
      </c>
      <c r="M34" s="250">
        <f>'41A 454'!H34</f>
        <v>0</v>
      </c>
      <c r="N34" s="250">
        <f>'Arnold Palmer Green 1 689'!H34</f>
        <v>0</v>
      </c>
    </row>
    <row r="35" spans="1:14" ht="12.95" customHeight="1" x14ac:dyDescent="0.2">
      <c r="B35" s="164">
        <f t="shared" ref="B35:B38" si="2">B34+0.1</f>
        <v>22.200000000000003</v>
      </c>
      <c r="C35" s="186" t="s">
        <v>181</v>
      </c>
      <c r="D35" s="187"/>
      <c r="E35" s="18" t="s">
        <v>6</v>
      </c>
      <c r="F35" s="375">
        <f>SUM('New 301 Ind Park 344'!F35,'Lakewood Meadows 388'!F35,'Mote Ranch 3 398'!F35,'41A 454'!F35,'Arnold Palmer Green 1 689'!F35)</f>
        <v>1</v>
      </c>
      <c r="G35" s="16"/>
      <c r="H35" s="139">
        <f t="shared" si="0"/>
        <v>0</v>
      </c>
      <c r="I35" s="19"/>
      <c r="J35" s="249">
        <f>'New 301 Ind Park 344'!H35</f>
        <v>0</v>
      </c>
      <c r="K35" s="250">
        <f>'Lakewood Meadows 388'!H35</f>
        <v>0</v>
      </c>
      <c r="L35" s="249">
        <f>'Mote Ranch 3 398'!H35</f>
        <v>0</v>
      </c>
      <c r="M35" s="250">
        <f>'41A 454'!H35</f>
        <v>0</v>
      </c>
      <c r="N35" s="250">
        <f>'Arnold Palmer Green 1 689'!H35</f>
        <v>0</v>
      </c>
    </row>
    <row r="36" spans="1:14" ht="12.75" customHeight="1" x14ac:dyDescent="0.2">
      <c r="B36" s="164">
        <f t="shared" si="2"/>
        <v>22.300000000000004</v>
      </c>
      <c r="C36" s="211" t="s">
        <v>182</v>
      </c>
      <c r="D36" s="187"/>
      <c r="E36" s="18" t="s">
        <v>6</v>
      </c>
      <c r="F36" s="375">
        <f>SUM('New 301 Ind Park 344'!F36,'Lakewood Meadows 388'!F36,'Mote Ranch 3 398'!F36,'41A 454'!F36,'Arnold Palmer Green 1 689'!F36)</f>
        <v>7</v>
      </c>
      <c r="G36" s="16"/>
      <c r="H36" s="139">
        <f t="shared" si="0"/>
        <v>0</v>
      </c>
      <c r="I36" s="19"/>
      <c r="J36" s="249">
        <f>'New 301 Ind Park 344'!H36</f>
        <v>0</v>
      </c>
      <c r="K36" s="250">
        <f>'Lakewood Meadows 388'!H36</f>
        <v>0</v>
      </c>
      <c r="L36" s="249">
        <f>'Mote Ranch 3 398'!H36</f>
        <v>0</v>
      </c>
      <c r="M36" s="250">
        <f>'41A 454'!H36</f>
        <v>0</v>
      </c>
      <c r="N36" s="250">
        <f>'Arnold Palmer Green 1 689'!H36</f>
        <v>0</v>
      </c>
    </row>
    <row r="37" spans="1:14" ht="12.95" customHeight="1" x14ac:dyDescent="0.2">
      <c r="B37" s="164">
        <f t="shared" si="2"/>
        <v>22.400000000000006</v>
      </c>
      <c r="C37" s="211" t="s">
        <v>182</v>
      </c>
      <c r="D37" s="187"/>
      <c r="E37" s="18" t="s">
        <v>6</v>
      </c>
      <c r="F37" s="375">
        <f>SUM('New 301 Ind Park 344'!F37,'Lakewood Meadows 388'!F37,'Mote Ranch 3 398'!F37,'41A 454'!F37,'Arnold Palmer Green 1 689'!F37)</f>
        <v>3</v>
      </c>
      <c r="G37" s="16"/>
      <c r="H37" s="139">
        <f t="shared" si="0"/>
        <v>0</v>
      </c>
      <c r="I37" s="19"/>
      <c r="J37" s="249">
        <f>'New 301 Ind Park 344'!H37</f>
        <v>0</v>
      </c>
      <c r="K37" s="250">
        <f>'Lakewood Meadows 388'!H37</f>
        <v>0</v>
      </c>
      <c r="L37" s="249">
        <f>'Mote Ranch 3 398'!H37</f>
        <v>0</v>
      </c>
      <c r="M37" s="250">
        <f>'41A 454'!H37</f>
        <v>0</v>
      </c>
      <c r="N37" s="250">
        <f>'Arnold Palmer Green 1 689'!H37</f>
        <v>0</v>
      </c>
    </row>
    <row r="38" spans="1:14" ht="12.95" customHeight="1" x14ac:dyDescent="0.2">
      <c r="B38" s="164">
        <f t="shared" si="2"/>
        <v>22.500000000000007</v>
      </c>
      <c r="C38" s="211" t="s">
        <v>183</v>
      </c>
      <c r="D38" s="187"/>
      <c r="E38" s="18" t="s">
        <v>6</v>
      </c>
      <c r="F38" s="375">
        <f>SUM('New 301 Ind Park 344'!F38,'Lakewood Meadows 388'!F38,'Mote Ranch 3 398'!F38,'41A 454'!F38,'Arnold Palmer Green 1 689'!F38)</f>
        <v>6</v>
      </c>
      <c r="G38" s="16"/>
      <c r="H38" s="139">
        <f t="shared" si="0"/>
        <v>0</v>
      </c>
      <c r="I38" s="19"/>
      <c r="J38" s="249">
        <f>'New 301 Ind Park 344'!H38</f>
        <v>0</v>
      </c>
      <c r="K38" s="250">
        <f>'Lakewood Meadows 388'!H38</f>
        <v>0</v>
      </c>
      <c r="L38" s="249">
        <f>'Mote Ranch 3 398'!H38</f>
        <v>0</v>
      </c>
      <c r="M38" s="250">
        <f>'41A 454'!H38</f>
        <v>0</v>
      </c>
      <c r="N38" s="250">
        <f>'Arnold Palmer Green 1 689'!H38</f>
        <v>0</v>
      </c>
    </row>
    <row r="39" spans="1:14" ht="12.95" customHeight="1" x14ac:dyDescent="0.2">
      <c r="A39" s="1" t="s">
        <v>59</v>
      </c>
      <c r="B39" s="13">
        <f>B33+1</f>
        <v>23</v>
      </c>
      <c r="C39" s="445" t="s">
        <v>118</v>
      </c>
      <c r="D39" s="446"/>
      <c r="E39" s="18" t="s">
        <v>6</v>
      </c>
      <c r="F39" s="375">
        <f>SUM('New 301 Ind Park 344'!F39,'Lakewood Meadows 388'!F39,'Mote Ranch 3 398'!F39,'41A 454'!F39,'Arnold Palmer Green 1 689'!F39)</f>
        <v>3</v>
      </c>
      <c r="G39" s="16"/>
      <c r="H39" s="139">
        <f t="shared" si="0"/>
        <v>0</v>
      </c>
      <c r="I39" s="19"/>
      <c r="J39" s="249">
        <f>'New 301 Ind Park 344'!H39</f>
        <v>0</v>
      </c>
      <c r="K39" s="250">
        <f>'Lakewood Meadows 388'!H39</f>
        <v>0</v>
      </c>
      <c r="L39" s="249">
        <f>'Mote Ranch 3 398'!H39</f>
        <v>0</v>
      </c>
      <c r="M39" s="250">
        <f>'41A 454'!H39</f>
        <v>0</v>
      </c>
      <c r="N39" s="250">
        <f>'Arnold Palmer Green 1 689'!H39</f>
        <v>0</v>
      </c>
    </row>
    <row r="40" spans="1:14" ht="12.95" customHeight="1" x14ac:dyDescent="0.2">
      <c r="A40" s="1" t="s">
        <v>60</v>
      </c>
      <c r="B40" s="13">
        <f t="shared" si="1"/>
        <v>24</v>
      </c>
      <c r="C40" s="435" t="s">
        <v>200</v>
      </c>
      <c r="D40" s="436"/>
      <c r="E40" s="18" t="s">
        <v>6</v>
      </c>
      <c r="F40" s="375">
        <f>SUM('New 301 Ind Park 344'!F40,'Lakewood Meadows 388'!F40,'Mote Ranch 3 398'!F40,'41A 454'!F40,'Arnold Palmer Green 1 689'!F40)</f>
        <v>4</v>
      </c>
      <c r="G40" s="16"/>
      <c r="H40" s="139">
        <f t="shared" si="0"/>
        <v>0</v>
      </c>
      <c r="I40" s="19"/>
      <c r="J40" s="249">
        <f>'New 301 Ind Park 344'!H40</f>
        <v>0</v>
      </c>
      <c r="K40" s="250">
        <f>'Lakewood Meadows 388'!H40</f>
        <v>0</v>
      </c>
      <c r="L40" s="249">
        <f>'Mote Ranch 3 398'!H40</f>
        <v>0</v>
      </c>
      <c r="M40" s="250">
        <f>'41A 454'!H40</f>
        <v>0</v>
      </c>
      <c r="N40" s="250">
        <f>'Arnold Palmer Green 1 689'!H40</f>
        <v>0</v>
      </c>
    </row>
    <row r="41" spans="1:14" ht="12.95" customHeight="1" x14ac:dyDescent="0.2">
      <c r="A41" s="1" t="s">
        <v>61</v>
      </c>
      <c r="B41" s="13">
        <f t="shared" si="1"/>
        <v>25</v>
      </c>
      <c r="C41" s="435" t="s">
        <v>113</v>
      </c>
      <c r="D41" s="436"/>
      <c r="E41" s="18" t="s">
        <v>6</v>
      </c>
      <c r="F41" s="375">
        <f>SUM('New 301 Ind Park 344'!F41,'Lakewood Meadows 388'!F41,'Mote Ranch 3 398'!F41,'41A 454'!F41,'Arnold Palmer Green 1 689'!F41)</f>
        <v>10</v>
      </c>
      <c r="G41" s="16"/>
      <c r="H41" s="139">
        <f t="shared" si="0"/>
        <v>0</v>
      </c>
      <c r="I41" s="24"/>
      <c r="J41" s="249">
        <f>'New 301 Ind Park 344'!H41</f>
        <v>0</v>
      </c>
      <c r="K41" s="250">
        <f>'Lakewood Meadows 388'!H41</f>
        <v>0</v>
      </c>
      <c r="L41" s="249">
        <f>'Mote Ranch 3 398'!H41</f>
        <v>0</v>
      </c>
      <c r="M41" s="250">
        <f>'41A 454'!H41</f>
        <v>0</v>
      </c>
      <c r="N41" s="250">
        <f>'Arnold Palmer Green 1 689'!H41</f>
        <v>0</v>
      </c>
    </row>
    <row r="42" spans="1:14" ht="12.95" customHeight="1" x14ac:dyDescent="0.2">
      <c r="B42" s="13">
        <f t="shared" si="1"/>
        <v>26</v>
      </c>
      <c r="C42" s="238" t="s">
        <v>226</v>
      </c>
      <c r="D42" s="179"/>
      <c r="E42" s="25" t="s">
        <v>35</v>
      </c>
      <c r="F42" s="375">
        <f>SUM('New 301 Ind Park 344'!F42,'Lakewood Meadows 388'!F42,'Mote Ranch 3 398'!F42,'41A 454'!F42,'Arnold Palmer Green 1 689'!F42)</f>
        <v>3</v>
      </c>
      <c r="G42" s="22"/>
      <c r="H42" s="139">
        <f t="shared" si="0"/>
        <v>0</v>
      </c>
      <c r="I42" s="24"/>
      <c r="J42" s="249">
        <f>'New 301 Ind Park 344'!H42</f>
        <v>0</v>
      </c>
      <c r="K42" s="250">
        <f>'Lakewood Meadows 388'!H42</f>
        <v>0</v>
      </c>
      <c r="L42" s="249">
        <f>'Mote Ranch 3 398'!H42</f>
        <v>0</v>
      </c>
      <c r="M42" s="250">
        <f>'41A 454'!H42</f>
        <v>0</v>
      </c>
      <c r="N42" s="250">
        <f>'Arnold Palmer Green 1 689'!H42</f>
        <v>0</v>
      </c>
    </row>
    <row r="43" spans="1:14" ht="12.95" customHeight="1" x14ac:dyDescent="0.2">
      <c r="B43" s="13">
        <f>B42+1</f>
        <v>27</v>
      </c>
      <c r="C43" s="435" t="s">
        <v>70</v>
      </c>
      <c r="D43" s="436"/>
      <c r="E43" s="25" t="s">
        <v>35</v>
      </c>
      <c r="F43" s="375">
        <f>SUM('New 301 Ind Park 344'!F43,'Lakewood Meadows 388'!F43,'Mote Ranch 3 398'!F43,'41A 454'!F43,'Arnold Palmer Green 1 689'!F43)</f>
        <v>4</v>
      </c>
      <c r="G43" s="16"/>
      <c r="H43" s="139">
        <f t="shared" si="0"/>
        <v>0</v>
      </c>
      <c r="J43" s="249">
        <f>'New 301 Ind Park 344'!H43</f>
        <v>0</v>
      </c>
      <c r="K43" s="250">
        <f>'Lakewood Meadows 388'!H43</f>
        <v>0</v>
      </c>
      <c r="L43" s="249">
        <f>'Mote Ranch 3 398'!H43</f>
        <v>0</v>
      </c>
      <c r="M43" s="250">
        <f>'41A 454'!H43</f>
        <v>0</v>
      </c>
      <c r="N43" s="250">
        <f>'Arnold Palmer Green 1 689'!H43</f>
        <v>0</v>
      </c>
    </row>
    <row r="44" spans="1:14" ht="12.75" customHeight="1" x14ac:dyDescent="0.2">
      <c r="A44" s="1" t="s">
        <v>64</v>
      </c>
      <c r="B44" s="13">
        <f t="shared" si="1"/>
        <v>28</v>
      </c>
      <c r="C44" s="435" t="s">
        <v>10</v>
      </c>
      <c r="D44" s="436"/>
      <c r="E44" s="18" t="s">
        <v>6</v>
      </c>
      <c r="F44" s="375">
        <f>SUM('New 301 Ind Park 344'!F44,'Lakewood Meadows 388'!F44,'Mote Ranch 3 398'!F44,'41A 454'!F44,'Arnold Palmer Green 1 689'!F44)</f>
        <v>6</v>
      </c>
      <c r="G44" s="16"/>
      <c r="H44" s="139">
        <f t="shared" si="0"/>
        <v>0</v>
      </c>
      <c r="I44" s="24"/>
      <c r="J44" s="249">
        <f>'New 301 Ind Park 344'!H44</f>
        <v>0</v>
      </c>
      <c r="K44" s="250">
        <f>'Lakewood Meadows 388'!H44</f>
        <v>0</v>
      </c>
      <c r="L44" s="249">
        <f>'Mote Ranch 3 398'!H44</f>
        <v>0</v>
      </c>
      <c r="M44" s="250">
        <f>'41A 454'!H44</f>
        <v>0</v>
      </c>
      <c r="N44" s="250">
        <f>'Arnold Palmer Green 1 689'!H44</f>
        <v>0</v>
      </c>
    </row>
    <row r="45" spans="1:14" ht="12.75" customHeight="1" x14ac:dyDescent="0.2">
      <c r="A45" s="1" t="s">
        <v>65</v>
      </c>
      <c r="B45" s="13">
        <f t="shared" si="1"/>
        <v>29</v>
      </c>
      <c r="C45" s="435" t="s">
        <v>11</v>
      </c>
      <c r="D45" s="436"/>
      <c r="E45" s="18" t="s">
        <v>35</v>
      </c>
      <c r="F45" s="375">
        <f>SUM('New 301 Ind Park 344'!F45,'Lakewood Meadows 388'!F45,'Mote Ranch 3 398'!F45,'41A 454'!F45,'Arnold Palmer Green 1 689'!F45)</f>
        <v>5</v>
      </c>
      <c r="G45" s="16"/>
      <c r="H45" s="139">
        <f t="shared" si="0"/>
        <v>0</v>
      </c>
      <c r="J45" s="249">
        <f>'New 301 Ind Park 344'!H45</f>
        <v>0</v>
      </c>
      <c r="K45" s="250">
        <f>'Lakewood Meadows 388'!H45</f>
        <v>0</v>
      </c>
      <c r="L45" s="249">
        <f>'Mote Ranch 3 398'!H45</f>
        <v>0</v>
      </c>
      <c r="M45" s="250">
        <f>'41A 454'!H45</f>
        <v>0</v>
      </c>
      <c r="N45" s="250">
        <f>'Arnold Palmer Green 1 689'!H45</f>
        <v>0</v>
      </c>
    </row>
    <row r="46" spans="1:14" ht="12.75" customHeight="1" x14ac:dyDescent="0.2">
      <c r="A46" s="1" t="s">
        <v>66</v>
      </c>
      <c r="B46" s="13">
        <f t="shared" si="1"/>
        <v>30</v>
      </c>
      <c r="C46" s="435" t="s">
        <v>269</v>
      </c>
      <c r="D46" s="436"/>
      <c r="E46" s="18" t="s">
        <v>5</v>
      </c>
      <c r="F46" s="375">
        <f>SUM('New 301 Ind Park 344'!F46,'Lakewood Meadows 388'!F46,'Mote Ranch 3 398'!F46,'41A 454'!F46,'Arnold Palmer Green 1 689'!F46)</f>
        <v>100</v>
      </c>
      <c r="G46" s="16"/>
      <c r="H46" s="139">
        <f>SUM(J46:N46)</f>
        <v>0</v>
      </c>
      <c r="J46" s="249">
        <f>'New 301 Ind Park 344'!H46</f>
        <v>0</v>
      </c>
      <c r="K46" s="250">
        <f>'Lakewood Meadows 388'!H46</f>
        <v>0</v>
      </c>
      <c r="L46" s="249">
        <f>'Mote Ranch 3 398'!H46</f>
        <v>0</v>
      </c>
      <c r="M46" s="250">
        <f>'41A 454'!H46</f>
        <v>0</v>
      </c>
      <c r="N46" s="250">
        <f>'Arnold Palmer Green 1 689'!H46</f>
        <v>0</v>
      </c>
    </row>
    <row r="47" spans="1:14" x14ac:dyDescent="0.2">
      <c r="B47" s="13">
        <f>B46+1</f>
        <v>31</v>
      </c>
      <c r="C47" s="456" t="s">
        <v>224</v>
      </c>
      <c r="D47" s="457"/>
      <c r="E47" s="18" t="s">
        <v>6</v>
      </c>
      <c r="F47" s="375">
        <f>SUM('New 301 Ind Park 344'!F47,'Lakewood Meadows 388'!F47,'Mote Ranch 3 398'!F47,'41A 454'!F47,'Arnold Palmer Green 1 689'!F47)</f>
        <v>3</v>
      </c>
      <c r="G47" s="16"/>
      <c r="H47" s="139">
        <f t="shared" si="0"/>
        <v>0</v>
      </c>
      <c r="J47" s="249">
        <f>'New 301 Ind Park 344'!H47</f>
        <v>0</v>
      </c>
      <c r="K47" s="250">
        <f>'Lakewood Meadows 388'!H47</f>
        <v>0</v>
      </c>
      <c r="L47" s="249">
        <f>'Mote Ranch 3 398'!H47</f>
        <v>0</v>
      </c>
      <c r="M47" s="250">
        <f>'41A 454'!H47</f>
        <v>0</v>
      </c>
      <c r="N47" s="250">
        <f>'Arnold Palmer Green 1 689'!H47</f>
        <v>0</v>
      </c>
    </row>
    <row r="48" spans="1:14" ht="12.75" customHeight="1" x14ac:dyDescent="0.2">
      <c r="B48" s="13">
        <f t="shared" si="1"/>
        <v>32</v>
      </c>
      <c r="C48" s="238" t="s">
        <v>225</v>
      </c>
      <c r="D48" s="254"/>
      <c r="E48" s="18" t="s">
        <v>6</v>
      </c>
      <c r="F48" s="375">
        <f>SUM('New 301 Ind Park 344'!F48,'Lakewood Meadows 388'!F48,'Mote Ranch 3 398'!F48,'41A 454'!F48,'Arnold Palmer Green 1 689'!F48)</f>
        <v>4</v>
      </c>
      <c r="G48" s="16"/>
      <c r="H48" s="139">
        <f t="shared" si="0"/>
        <v>0</v>
      </c>
      <c r="J48" s="249">
        <f>'New 301 Ind Park 344'!H48</f>
        <v>0</v>
      </c>
      <c r="K48" s="250">
        <f>'Lakewood Meadows 388'!H48</f>
        <v>0</v>
      </c>
      <c r="L48" s="249">
        <f>'Mote Ranch 3 398'!H48</f>
        <v>0</v>
      </c>
      <c r="M48" s="250">
        <f>'41A 454'!H48</f>
        <v>0</v>
      </c>
      <c r="N48" s="250">
        <f>'Arnold Palmer Green 1 689'!H48</f>
        <v>0</v>
      </c>
    </row>
    <row r="49" spans="1:14" ht="12.75" customHeight="1" x14ac:dyDescent="0.2">
      <c r="A49" s="1" t="s">
        <v>80</v>
      </c>
      <c r="B49" s="13">
        <f t="shared" si="1"/>
        <v>33</v>
      </c>
      <c r="C49" s="182" t="s">
        <v>75</v>
      </c>
      <c r="D49" s="183"/>
      <c r="E49" s="78" t="s">
        <v>6</v>
      </c>
      <c r="F49" s="375">
        <f>SUM('New 301 Ind Park 344'!F49,'Lakewood Meadows 388'!F49,'Mote Ranch 3 398'!F49,'41A 454'!F49,'Arnold Palmer Green 1 689'!F49)</f>
        <v>4</v>
      </c>
      <c r="G49" s="22"/>
      <c r="H49" s="139">
        <f t="shared" si="0"/>
        <v>0</v>
      </c>
      <c r="J49" s="249">
        <f>'New 301 Ind Park 344'!H49</f>
        <v>0</v>
      </c>
      <c r="K49" s="250">
        <f>'Lakewood Meadows 388'!H49</f>
        <v>0</v>
      </c>
      <c r="L49" s="249">
        <f>'Mote Ranch 3 398'!H49</f>
        <v>0</v>
      </c>
      <c r="M49" s="250">
        <f>'41A 454'!H49</f>
        <v>0</v>
      </c>
      <c r="N49" s="250">
        <f>'Arnold Palmer Green 1 689'!H49</f>
        <v>0</v>
      </c>
    </row>
    <row r="50" spans="1:14" ht="12.75" customHeight="1" x14ac:dyDescent="0.2">
      <c r="A50" s="1" t="s">
        <v>81</v>
      </c>
      <c r="B50" s="13">
        <f t="shared" si="1"/>
        <v>34</v>
      </c>
      <c r="C50" s="182" t="s">
        <v>77</v>
      </c>
      <c r="D50" s="183"/>
      <c r="E50" s="78" t="s">
        <v>6</v>
      </c>
      <c r="F50" s="375">
        <f>SUM('New 301 Ind Park 344'!F50,'Lakewood Meadows 388'!F50,'Mote Ranch 3 398'!F50,'41A 454'!F50,'Arnold Palmer Green 1 689'!F50)</f>
        <v>4</v>
      </c>
      <c r="G50" s="22"/>
      <c r="H50" s="139">
        <f t="shared" si="0"/>
        <v>0</v>
      </c>
      <c r="J50" s="249">
        <f>'New 301 Ind Park 344'!H50</f>
        <v>0</v>
      </c>
      <c r="K50" s="250">
        <f>'Lakewood Meadows 388'!H50</f>
        <v>0</v>
      </c>
      <c r="L50" s="249">
        <f>'Mote Ranch 3 398'!H50</f>
        <v>0</v>
      </c>
      <c r="M50" s="250">
        <f>'41A 454'!H50</f>
        <v>0</v>
      </c>
      <c r="N50" s="250">
        <f>'Arnold Palmer Green 1 689'!H50</f>
        <v>0</v>
      </c>
    </row>
    <row r="51" spans="1:14" ht="12.75" customHeight="1" x14ac:dyDescent="0.2">
      <c r="A51" s="1" t="s">
        <v>72</v>
      </c>
      <c r="B51" s="13">
        <f t="shared" si="1"/>
        <v>35</v>
      </c>
      <c r="C51" s="182" t="s">
        <v>74</v>
      </c>
      <c r="D51" s="183"/>
      <c r="E51" s="78" t="s">
        <v>6</v>
      </c>
      <c r="F51" s="375">
        <f>SUM('New 301 Ind Park 344'!F51,'Lakewood Meadows 388'!F51,'Mote Ranch 3 398'!F51,'41A 454'!F51,'Arnold Palmer Green 1 689'!F51)</f>
        <v>5</v>
      </c>
      <c r="G51" s="22"/>
      <c r="H51" s="139">
        <f t="shared" si="0"/>
        <v>0</v>
      </c>
      <c r="J51" s="249">
        <f>'New 301 Ind Park 344'!H51</f>
        <v>0</v>
      </c>
      <c r="K51" s="250">
        <f>'Lakewood Meadows 388'!H51</f>
        <v>0</v>
      </c>
      <c r="L51" s="249">
        <f>'Mote Ranch 3 398'!H51</f>
        <v>0</v>
      </c>
      <c r="M51" s="250">
        <f>'41A 454'!H51</f>
        <v>0</v>
      </c>
      <c r="N51" s="250">
        <f>'Arnold Palmer Green 1 689'!H51</f>
        <v>0</v>
      </c>
    </row>
    <row r="52" spans="1:14" ht="12.75" customHeight="1" x14ac:dyDescent="0.2">
      <c r="B52" s="216">
        <f>B51+0.1</f>
        <v>35.1</v>
      </c>
      <c r="C52" s="212" t="s">
        <v>195</v>
      </c>
      <c r="D52" s="213"/>
      <c r="E52" s="210" t="s">
        <v>6</v>
      </c>
      <c r="F52" s="375">
        <f>SUM('New 301 Ind Park 344'!F52,'Lakewood Meadows 388'!F52,'Mote Ranch 3 398'!F52,'41A 454'!F52,'Arnold Palmer Green 1 689'!F52)</f>
        <v>5</v>
      </c>
      <c r="G52" s="22"/>
      <c r="H52" s="139">
        <f t="shared" si="0"/>
        <v>0</v>
      </c>
      <c r="J52" s="249">
        <f>'New 301 Ind Park 344'!H52</f>
        <v>0</v>
      </c>
      <c r="K52" s="250">
        <f>'Lakewood Meadows 388'!H52</f>
        <v>0</v>
      </c>
      <c r="L52" s="249">
        <f>'Mote Ranch 3 398'!H52</f>
        <v>0</v>
      </c>
      <c r="M52" s="250">
        <f>'41A 454'!H52</f>
        <v>0</v>
      </c>
      <c r="N52" s="250">
        <f>'Arnold Palmer Green 1 689'!H52</f>
        <v>0</v>
      </c>
    </row>
    <row r="53" spans="1:14" ht="12.75" customHeight="1" x14ac:dyDescent="0.2">
      <c r="B53" s="13">
        <f>B51+1</f>
        <v>36</v>
      </c>
      <c r="C53" s="182" t="s">
        <v>135</v>
      </c>
      <c r="D53" s="183"/>
      <c r="E53" s="78" t="s">
        <v>6</v>
      </c>
      <c r="F53" s="375">
        <f>SUM('New 301 Ind Park 344'!F53,'Lakewood Meadows 388'!F53,'Mote Ranch 3 398'!F53,'41A 454'!F53,'Arnold Palmer Green 1 689'!F53)</f>
        <v>5</v>
      </c>
      <c r="G53" s="22"/>
      <c r="H53" s="139">
        <f t="shared" si="0"/>
        <v>0</v>
      </c>
      <c r="J53" s="249">
        <f>'New 301 Ind Park 344'!H53</f>
        <v>0</v>
      </c>
      <c r="K53" s="250">
        <f>'Lakewood Meadows 388'!H53</f>
        <v>0</v>
      </c>
      <c r="L53" s="249">
        <f>'Mote Ranch 3 398'!H53</f>
        <v>0</v>
      </c>
      <c r="M53" s="250">
        <f>'41A 454'!H53</f>
        <v>0</v>
      </c>
      <c r="N53" s="250">
        <f>'Arnold Palmer Green 1 689'!H53</f>
        <v>0</v>
      </c>
    </row>
    <row r="54" spans="1:14" ht="12.75" customHeight="1" x14ac:dyDescent="0.2">
      <c r="B54" s="13">
        <f t="shared" si="1"/>
        <v>37</v>
      </c>
      <c r="C54" s="182" t="s">
        <v>136</v>
      </c>
      <c r="D54" s="183"/>
      <c r="E54" s="78" t="s">
        <v>6</v>
      </c>
      <c r="F54" s="375">
        <f>SUM('New 301 Ind Park 344'!F54,'Lakewood Meadows 388'!F54,'Mote Ranch 3 398'!F54,'41A 454'!F54,'Arnold Palmer Green 1 689'!F54)</f>
        <v>5</v>
      </c>
      <c r="G54" s="22"/>
      <c r="H54" s="139">
        <f t="shared" si="0"/>
        <v>0</v>
      </c>
      <c r="J54" s="249">
        <f>'New 301 Ind Park 344'!H54</f>
        <v>0</v>
      </c>
      <c r="K54" s="250">
        <f>'Lakewood Meadows 388'!H54</f>
        <v>0</v>
      </c>
      <c r="L54" s="249">
        <f>'Mote Ranch 3 398'!H54</f>
        <v>0</v>
      </c>
      <c r="M54" s="250">
        <f>'41A 454'!H54</f>
        <v>0</v>
      </c>
      <c r="N54" s="250">
        <f>'Arnold Palmer Green 1 689'!H54</f>
        <v>0</v>
      </c>
    </row>
    <row r="55" spans="1:14" ht="12.95" customHeight="1" x14ac:dyDescent="0.2">
      <c r="A55" s="1" t="s">
        <v>82</v>
      </c>
      <c r="B55" s="13">
        <f t="shared" si="1"/>
        <v>38</v>
      </c>
      <c r="C55" s="182" t="s">
        <v>76</v>
      </c>
      <c r="D55" s="183"/>
      <c r="E55" s="78" t="s">
        <v>5</v>
      </c>
      <c r="F55" s="375">
        <f>SUM('New 301 Ind Park 344'!F55,'Lakewood Meadows 388'!F55,'Mote Ranch 3 398'!F55,'41A 454'!F55,'Arnold Palmer Green 1 689'!F55)</f>
        <v>150</v>
      </c>
      <c r="G55" s="22"/>
      <c r="H55" s="139">
        <f t="shared" si="0"/>
        <v>0</v>
      </c>
      <c r="J55" s="249">
        <f>'New 301 Ind Park 344'!H55</f>
        <v>0</v>
      </c>
      <c r="K55" s="250">
        <f>'Lakewood Meadows 388'!H55</f>
        <v>0</v>
      </c>
      <c r="L55" s="249">
        <f>'Mote Ranch 3 398'!H55</f>
        <v>0</v>
      </c>
      <c r="M55" s="250">
        <f>'41A 454'!H55</f>
        <v>0</v>
      </c>
      <c r="N55" s="250">
        <f>'Arnold Palmer Green 1 689'!H55</f>
        <v>0</v>
      </c>
    </row>
    <row r="56" spans="1:14" ht="12.95" customHeight="1" x14ac:dyDescent="0.2">
      <c r="A56" s="1" t="s">
        <v>104</v>
      </c>
      <c r="B56" s="13">
        <f t="shared" si="1"/>
        <v>39</v>
      </c>
      <c r="C56" s="182" t="s">
        <v>132</v>
      </c>
      <c r="D56" s="183"/>
      <c r="E56" s="78" t="s">
        <v>5</v>
      </c>
      <c r="F56" s="375">
        <f>SUM('New 301 Ind Park 344'!F56,'Lakewood Meadows 388'!F56,'Mote Ranch 3 398'!F56,'41A 454'!F56,'Arnold Palmer Green 1 689'!F56)</f>
        <v>40</v>
      </c>
      <c r="G56" s="22"/>
      <c r="H56" s="139">
        <f t="shared" si="0"/>
        <v>0</v>
      </c>
      <c r="J56" s="249">
        <f>'New 301 Ind Park 344'!H56</f>
        <v>0</v>
      </c>
      <c r="K56" s="250">
        <f>'Lakewood Meadows 388'!H56</f>
        <v>0</v>
      </c>
      <c r="L56" s="249">
        <f>'Mote Ranch 3 398'!H56</f>
        <v>0</v>
      </c>
      <c r="M56" s="250">
        <f>'41A 454'!H56</f>
        <v>0</v>
      </c>
      <c r="N56" s="250">
        <f>'Arnold Palmer Green 1 689'!H56</f>
        <v>0</v>
      </c>
    </row>
    <row r="57" spans="1:14" ht="12.95" customHeight="1" x14ac:dyDescent="0.2">
      <c r="A57" s="1" t="s">
        <v>83</v>
      </c>
      <c r="B57" s="13">
        <f t="shared" si="1"/>
        <v>40</v>
      </c>
      <c r="C57" s="182" t="s">
        <v>79</v>
      </c>
      <c r="D57" s="183"/>
      <c r="E57" s="78" t="s">
        <v>6</v>
      </c>
      <c r="F57" s="375">
        <f>SUM('New 301 Ind Park 344'!F57,'Lakewood Meadows 388'!F57,'Mote Ranch 3 398'!F57,'41A 454'!F57,'Arnold Palmer Green 1 689'!F57)</f>
        <v>5</v>
      </c>
      <c r="G57" s="22"/>
      <c r="H57" s="139">
        <f t="shared" si="0"/>
        <v>0</v>
      </c>
      <c r="J57" s="249">
        <f>'New 301 Ind Park 344'!H57</f>
        <v>0</v>
      </c>
      <c r="K57" s="250">
        <f>'Lakewood Meadows 388'!H57</f>
        <v>0</v>
      </c>
      <c r="L57" s="249">
        <f>'Mote Ranch 3 398'!H57</f>
        <v>0</v>
      </c>
      <c r="M57" s="250">
        <f>'41A 454'!H57</f>
        <v>0</v>
      </c>
      <c r="N57" s="250">
        <f>'Arnold Palmer Green 1 689'!H57</f>
        <v>0</v>
      </c>
    </row>
    <row r="58" spans="1:14" ht="12.95" customHeight="1" x14ac:dyDescent="0.2">
      <c r="B58" s="13">
        <f t="shared" si="1"/>
        <v>41</v>
      </c>
      <c r="C58" s="212" t="s">
        <v>260</v>
      </c>
      <c r="D58" s="213"/>
      <c r="E58" s="274" t="s">
        <v>35</v>
      </c>
      <c r="F58" s="375">
        <f>SUM('New 301 Ind Park 344'!F58,'Lakewood Meadows 388'!F58,'Mote Ranch 3 398'!F58,'41A 454'!F58,'Arnold Palmer Green 1 689'!F58)</f>
        <v>5</v>
      </c>
      <c r="G58" s="22"/>
      <c r="H58" s="139">
        <f t="shared" si="0"/>
        <v>0</v>
      </c>
      <c r="J58" s="249">
        <f>'New 301 Ind Park 344'!H58</f>
        <v>0</v>
      </c>
      <c r="K58" s="250">
        <f>'Lakewood Meadows 388'!H58</f>
        <v>0</v>
      </c>
      <c r="L58" s="249">
        <f>'Mote Ranch 3 398'!H58</f>
        <v>0</v>
      </c>
      <c r="M58" s="250">
        <f>'41A 454'!H58</f>
        <v>0</v>
      </c>
      <c r="N58" s="250">
        <f>'Arnold Palmer Green 1 689'!H58</f>
        <v>0</v>
      </c>
    </row>
    <row r="59" spans="1:14" ht="12.95" customHeight="1" x14ac:dyDescent="0.2">
      <c r="B59" s="13">
        <f t="shared" si="1"/>
        <v>42</v>
      </c>
      <c r="C59" s="182" t="s">
        <v>119</v>
      </c>
      <c r="D59" s="183"/>
      <c r="E59" s="99" t="s">
        <v>35</v>
      </c>
      <c r="F59" s="375">
        <f>SUM('New 301 Ind Park 344'!F59,'Lakewood Meadows 388'!F59,'Mote Ranch 3 398'!F59,'41A 454'!F59,'Arnold Palmer Green 1 689'!F59)</f>
        <v>5</v>
      </c>
      <c r="G59" s="22"/>
      <c r="H59" s="139">
        <f t="shared" si="0"/>
        <v>0</v>
      </c>
      <c r="J59" s="249">
        <f>'New 301 Ind Park 344'!H59</f>
        <v>0</v>
      </c>
      <c r="K59" s="250">
        <f>'Lakewood Meadows 388'!H59</f>
        <v>0</v>
      </c>
      <c r="L59" s="249">
        <f>'Mote Ranch 3 398'!H59</f>
        <v>0</v>
      </c>
      <c r="M59" s="250">
        <f>'41A 454'!H59</f>
        <v>0</v>
      </c>
      <c r="N59" s="250">
        <f>'Arnold Palmer Green 1 689'!H59</f>
        <v>0</v>
      </c>
    </row>
    <row r="60" spans="1:14" ht="12.95" customHeight="1" x14ac:dyDescent="0.2">
      <c r="B60" s="13">
        <f t="shared" si="1"/>
        <v>43</v>
      </c>
      <c r="C60" s="178" t="s">
        <v>100</v>
      </c>
      <c r="D60" s="179"/>
      <c r="E60" s="25" t="s">
        <v>73</v>
      </c>
      <c r="F60" s="375">
        <f>SUM('New 301 Ind Park 344'!F60,'Lakewood Meadows 388'!F60,'Mote Ranch 3 398'!F60,'41A 454'!F60,'Arnold Palmer Green 1 689'!F60)</f>
        <v>206</v>
      </c>
      <c r="G60" s="16"/>
      <c r="H60" s="139">
        <f t="shared" si="0"/>
        <v>0</v>
      </c>
      <c r="J60" s="249">
        <f>'New 301 Ind Park 344'!H60</f>
        <v>0</v>
      </c>
      <c r="K60" s="250">
        <f>'Lakewood Meadows 388'!H60</f>
        <v>0</v>
      </c>
      <c r="L60" s="249">
        <f>'Mote Ranch 3 398'!H60</f>
        <v>0</v>
      </c>
      <c r="M60" s="250">
        <f>'41A 454'!H60</f>
        <v>0</v>
      </c>
      <c r="N60" s="250">
        <f>'Arnold Palmer Green 1 689'!H60</f>
        <v>0</v>
      </c>
    </row>
    <row r="61" spans="1:14" ht="12.95" customHeight="1" x14ac:dyDescent="0.2">
      <c r="A61" s="1" t="s">
        <v>89</v>
      </c>
      <c r="B61" s="13">
        <f t="shared" si="1"/>
        <v>44</v>
      </c>
      <c r="C61" s="178" t="s">
        <v>268</v>
      </c>
      <c r="D61" s="179"/>
      <c r="E61" s="25" t="s">
        <v>9</v>
      </c>
      <c r="F61" s="375">
        <f>SUM('New 301 Ind Park 344'!F61,'Lakewood Meadows 388'!F61,'Mote Ranch 3 398'!F61,'41A 454'!F61,'Arnold Palmer Green 1 689'!F61)</f>
        <v>1711</v>
      </c>
      <c r="G61" s="16"/>
      <c r="H61" s="139">
        <f t="shared" si="0"/>
        <v>0</v>
      </c>
      <c r="J61" s="249">
        <f>'New 301 Ind Park 344'!H61</f>
        <v>0</v>
      </c>
      <c r="K61" s="250">
        <f>'Lakewood Meadows 388'!H61</f>
        <v>0</v>
      </c>
      <c r="L61" s="249">
        <f>'Mote Ranch 3 398'!H61</f>
        <v>0</v>
      </c>
      <c r="M61" s="250">
        <f>'41A 454'!H61</f>
        <v>0</v>
      </c>
      <c r="N61" s="250">
        <f>'Arnold Palmer Green 1 689'!H61</f>
        <v>0</v>
      </c>
    </row>
    <row r="62" spans="1:14" ht="12.95" customHeight="1" x14ac:dyDescent="0.2">
      <c r="A62" s="1" t="s">
        <v>90</v>
      </c>
      <c r="B62" s="13">
        <f t="shared" si="1"/>
        <v>45</v>
      </c>
      <c r="C62" s="178" t="s">
        <v>103</v>
      </c>
      <c r="D62" s="179"/>
      <c r="E62" s="25" t="s">
        <v>73</v>
      </c>
      <c r="F62" s="375">
        <f>SUM('New 301 Ind Park 344'!F62,'Lakewood Meadows 388'!F62,'Mote Ranch 3 398'!F62,'41A 454'!F62,'Arnold Palmer Green 1 689'!F62)</f>
        <v>205</v>
      </c>
      <c r="G62" s="16"/>
      <c r="H62" s="139">
        <f t="shared" ref="H62:H89" si="3">SUM(J62:N62)</f>
        <v>0</v>
      </c>
      <c r="J62" s="249">
        <f>'New 301 Ind Park 344'!H62</f>
        <v>0</v>
      </c>
      <c r="K62" s="250">
        <f>'Lakewood Meadows 388'!H62</f>
        <v>0</v>
      </c>
      <c r="L62" s="249">
        <f>'Mote Ranch 3 398'!H62</f>
        <v>0</v>
      </c>
      <c r="M62" s="250">
        <f>'41A 454'!H62</f>
        <v>0</v>
      </c>
      <c r="N62" s="250">
        <f>'Arnold Palmer Green 1 689'!H62</f>
        <v>0</v>
      </c>
    </row>
    <row r="63" spans="1:14" ht="12.95" customHeight="1" x14ac:dyDescent="0.2">
      <c r="B63" s="13">
        <f t="shared" si="1"/>
        <v>46</v>
      </c>
      <c r="C63" s="150" t="s">
        <v>125</v>
      </c>
      <c r="D63" s="152"/>
      <c r="E63" s="151" t="s">
        <v>73</v>
      </c>
      <c r="F63" s="375">
        <f>SUM('New 301 Ind Park 344'!F63,'Lakewood Meadows 388'!F63,'Mote Ranch 3 398'!F63,'41A 454'!F63,'Arnold Palmer Green 1 689'!F63)</f>
        <v>420</v>
      </c>
      <c r="G63" s="149"/>
      <c r="H63" s="139">
        <f t="shared" si="3"/>
        <v>0</v>
      </c>
      <c r="J63" s="249">
        <f>'New 301 Ind Park 344'!H63</f>
        <v>0</v>
      </c>
      <c r="K63" s="250">
        <f>'Lakewood Meadows 388'!H63</f>
        <v>0</v>
      </c>
      <c r="L63" s="249">
        <f>'Mote Ranch 3 398'!H63</f>
        <v>0</v>
      </c>
      <c r="M63" s="250">
        <f>'41A 454'!H63</f>
        <v>0</v>
      </c>
      <c r="N63" s="250">
        <f>'Arnold Palmer Green 1 689'!H63</f>
        <v>0</v>
      </c>
    </row>
    <row r="64" spans="1:14" ht="12.95" customHeight="1" x14ac:dyDescent="0.2">
      <c r="B64" s="13">
        <f t="shared" si="1"/>
        <v>47</v>
      </c>
      <c r="C64" s="150" t="s">
        <v>154</v>
      </c>
      <c r="D64" s="179"/>
      <c r="E64" s="195" t="s">
        <v>155</v>
      </c>
      <c r="F64" s="375">
        <f>SUM('New 301 Ind Park 344'!F64,'Lakewood Meadows 388'!F64,'Mote Ranch 3 398'!F64,'41A 454'!F64,'Arnold Palmer Green 1 689'!F64)</f>
        <v>10</v>
      </c>
      <c r="G64" s="16"/>
      <c r="H64" s="139">
        <f t="shared" si="3"/>
        <v>0</v>
      </c>
      <c r="J64" s="249">
        <f>'New 301 Ind Park 344'!H64</f>
        <v>0</v>
      </c>
      <c r="K64" s="250">
        <f>'Lakewood Meadows 388'!H64</f>
        <v>0</v>
      </c>
      <c r="L64" s="249">
        <f>'Mote Ranch 3 398'!H64</f>
        <v>0</v>
      </c>
      <c r="M64" s="250">
        <f>'41A 454'!H64</f>
        <v>0</v>
      </c>
      <c r="N64" s="250">
        <f>'Arnold Palmer Green 1 689'!H64</f>
        <v>0</v>
      </c>
    </row>
    <row r="65" spans="2:24" ht="12.95" customHeight="1" x14ac:dyDescent="0.2">
      <c r="B65" s="13">
        <f t="shared" si="1"/>
        <v>48</v>
      </c>
      <c r="C65" s="192" t="s">
        <v>259</v>
      </c>
      <c r="D65" s="202"/>
      <c r="E65" s="195" t="s">
        <v>6</v>
      </c>
      <c r="F65" s="375">
        <f>SUM('New 301 Ind Park 344'!F65,'Lakewood Meadows 388'!F65,'Mote Ranch 3 398'!F65,'41A 454'!F65,'Arnold Palmer Green 1 689'!F65)</f>
        <v>4</v>
      </c>
      <c r="G65" s="16"/>
      <c r="H65" s="139">
        <f t="shared" si="3"/>
        <v>0</v>
      </c>
      <c r="J65" s="249">
        <f>'New 301 Ind Park 344'!H65</f>
        <v>0</v>
      </c>
      <c r="K65" s="250">
        <f>'Lakewood Meadows 388'!H65</f>
        <v>0</v>
      </c>
      <c r="L65" s="249">
        <f>'Mote Ranch 3 398'!H65</f>
        <v>0</v>
      </c>
      <c r="M65" s="250">
        <f>'41A 454'!H65</f>
        <v>0</v>
      </c>
      <c r="N65" s="250">
        <f>'Arnold Palmer Green 1 689'!H65</f>
        <v>0</v>
      </c>
    </row>
    <row r="66" spans="2:24" ht="12.95" customHeight="1" x14ac:dyDescent="0.2">
      <c r="B66" s="13">
        <f t="shared" si="1"/>
        <v>49</v>
      </c>
      <c r="C66" s="192" t="s">
        <v>196</v>
      </c>
      <c r="D66" s="202"/>
      <c r="E66" s="195" t="s">
        <v>155</v>
      </c>
      <c r="F66" s="375">
        <f>SUM('New 301 Ind Park 344'!F66,'Lakewood Meadows 388'!F66,'Mote Ranch 3 398'!F66,'41A 454'!F66,'Arnold Palmer Green 1 689'!F66)</f>
        <v>35</v>
      </c>
      <c r="G66" s="16"/>
      <c r="H66" s="139">
        <f t="shared" si="3"/>
        <v>0</v>
      </c>
      <c r="J66" s="249">
        <f>'New 301 Ind Park 344'!H66</f>
        <v>0</v>
      </c>
      <c r="K66" s="250">
        <f>'Lakewood Meadows 388'!H66</f>
        <v>0</v>
      </c>
      <c r="L66" s="249">
        <f>'Mote Ranch 3 398'!H66</f>
        <v>0</v>
      </c>
      <c r="M66" s="250">
        <f>'41A 454'!H66</f>
        <v>0</v>
      </c>
      <c r="N66" s="250">
        <f>'Arnold Palmer Green 1 689'!H66</f>
        <v>0</v>
      </c>
    </row>
    <row r="67" spans="2:24" ht="12.95" customHeight="1" x14ac:dyDescent="0.2">
      <c r="B67" s="13">
        <f t="shared" si="1"/>
        <v>50</v>
      </c>
      <c r="C67" s="192" t="s">
        <v>270</v>
      </c>
      <c r="D67" s="253"/>
      <c r="E67" s="195" t="s">
        <v>35</v>
      </c>
      <c r="F67" s="375">
        <f>SUM('New 301 Ind Park 344'!F67,'Lakewood Meadows 388'!F67,'Mote Ranch 3 398'!F67,'41A 454'!F67,'Arnold Palmer Green 1 689'!F67)</f>
        <v>1</v>
      </c>
      <c r="G67" s="16"/>
      <c r="H67" s="139">
        <f t="shared" si="3"/>
        <v>0</v>
      </c>
      <c r="J67" s="249">
        <f>'New 301 Ind Park 344'!H67</f>
        <v>0</v>
      </c>
      <c r="K67" s="250">
        <f>'Lakewood Meadows 388'!H67</f>
        <v>0</v>
      </c>
      <c r="L67" s="249">
        <f>'Mote Ranch 3 398'!H67</f>
        <v>0</v>
      </c>
      <c r="M67" s="250">
        <f>'41A 454'!H67</f>
        <v>0</v>
      </c>
      <c r="N67" s="250">
        <f>'Arnold Palmer Green 1 689'!H67</f>
        <v>0</v>
      </c>
    </row>
    <row r="68" spans="2:24" ht="12.95" customHeight="1" x14ac:dyDescent="0.2">
      <c r="B68" s="13">
        <f t="shared" si="1"/>
        <v>51</v>
      </c>
      <c r="C68" s="192" t="s">
        <v>262</v>
      </c>
      <c r="D68" s="149"/>
      <c r="E68" s="194" t="s">
        <v>35</v>
      </c>
      <c r="F68" s="375">
        <f>SUM('New 301 Ind Park 344'!F68,'Lakewood Meadows 388'!F68,'Mote Ranch 3 398'!F68,'41A 454'!F68,'Arnold Palmer Green 1 689'!F68)</f>
        <v>1</v>
      </c>
      <c r="G68" s="16"/>
      <c r="H68" s="139">
        <f t="shared" ref="H68:H72" si="4">SUM(J68:N68)</f>
        <v>0</v>
      </c>
      <c r="J68" s="249">
        <f>'New 301 Ind Park 344'!H68</f>
        <v>0</v>
      </c>
      <c r="K68" s="250">
        <f>'Lakewood Meadows 388'!H68</f>
        <v>0</v>
      </c>
      <c r="L68" s="249">
        <f>'Mote Ranch 3 398'!H68</f>
        <v>0</v>
      </c>
      <c r="M68" s="250">
        <f>'41A 454'!H68</f>
        <v>0</v>
      </c>
      <c r="N68" s="250">
        <f>'Arnold Palmer Green 1 689'!H68</f>
        <v>0</v>
      </c>
    </row>
    <row r="69" spans="2:24" ht="12.95" customHeight="1" x14ac:dyDescent="0.2">
      <c r="B69" s="13">
        <f t="shared" si="1"/>
        <v>52</v>
      </c>
      <c r="C69" s="192" t="s">
        <v>252</v>
      </c>
      <c r="D69" s="152"/>
      <c r="E69" s="194" t="s">
        <v>6</v>
      </c>
      <c r="F69" s="375">
        <f>SUM('New 301 Ind Park 344'!F69,'Lakewood Meadows 388'!F69,'Mote Ranch 3 398'!F69,'41A 454'!F69,'Arnold Palmer Green 1 689'!F69)</f>
        <v>1</v>
      </c>
      <c r="G69" s="16"/>
      <c r="H69" s="139">
        <f t="shared" si="4"/>
        <v>0</v>
      </c>
      <c r="J69" s="249">
        <f>'New 301 Ind Park 344'!H69</f>
        <v>0</v>
      </c>
      <c r="K69" s="250">
        <f>'Lakewood Meadows 388'!H69</f>
        <v>0</v>
      </c>
      <c r="L69" s="249">
        <f>'Mote Ranch 3 398'!H69</f>
        <v>0</v>
      </c>
      <c r="M69" s="250">
        <f>'41A 454'!H69</f>
        <v>0</v>
      </c>
      <c r="N69" s="250">
        <f>'Arnold Palmer Green 1 689'!H69</f>
        <v>0</v>
      </c>
    </row>
    <row r="70" spans="2:24" ht="12.95" customHeight="1" thickBot="1" x14ac:dyDescent="0.25">
      <c r="B70" s="13"/>
      <c r="C70" s="292"/>
      <c r="D70" s="293"/>
      <c r="E70" s="194"/>
      <c r="F70" s="26"/>
      <c r="G70" s="16"/>
      <c r="H70" s="139"/>
      <c r="J70" s="249"/>
      <c r="K70" s="250"/>
      <c r="L70" s="249"/>
      <c r="M70" s="250"/>
      <c r="N70" s="250"/>
    </row>
    <row r="71" spans="2:24" ht="12.95" customHeight="1" thickBot="1" x14ac:dyDescent="0.25">
      <c r="B71" s="447" t="s">
        <v>265</v>
      </c>
      <c r="C71" s="448"/>
      <c r="D71" s="448"/>
      <c r="E71" s="448"/>
      <c r="F71" s="448"/>
      <c r="G71" s="448"/>
      <c r="H71" s="449"/>
      <c r="J71" s="249"/>
      <c r="K71" s="250"/>
      <c r="L71" s="249"/>
      <c r="M71" s="250"/>
      <c r="N71" s="250"/>
    </row>
    <row r="72" spans="2:24" s="220" customFormat="1" ht="12.95" customHeight="1" x14ac:dyDescent="0.2">
      <c r="B72" s="13">
        <f>B69+1</f>
        <v>53</v>
      </c>
      <c r="C72" s="294" t="s">
        <v>210</v>
      </c>
      <c r="D72" s="295"/>
      <c r="E72" s="231" t="s">
        <v>35</v>
      </c>
      <c r="F72" s="377">
        <f>'Arnold Palmer Green 1 689'!F74</f>
        <v>1</v>
      </c>
      <c r="G72" s="239"/>
      <c r="H72" s="297">
        <f t="shared" si="4"/>
        <v>0</v>
      </c>
      <c r="J72" s="227"/>
      <c r="K72" s="227"/>
      <c r="L72" s="227"/>
      <c r="M72" s="227"/>
      <c r="N72" s="250">
        <f>'Arnold Palmer Green 1 689'!H74</f>
        <v>0</v>
      </c>
      <c r="O72" s="234"/>
      <c r="P72" s="235"/>
      <c r="Q72" s="234"/>
      <c r="R72" s="236"/>
      <c r="S72" s="234"/>
      <c r="T72" s="234"/>
      <c r="U72" s="237"/>
      <c r="V72" s="234"/>
      <c r="W72" s="234"/>
      <c r="X72" s="234"/>
    </row>
    <row r="73" spans="2:24" s="220" customFormat="1" ht="12.95" customHeight="1" x14ac:dyDescent="0.2">
      <c r="B73" s="13">
        <f t="shared" si="1"/>
        <v>54</v>
      </c>
      <c r="C73" s="238" t="s">
        <v>211</v>
      </c>
      <c r="D73" s="280"/>
      <c r="E73" s="241" t="s">
        <v>73</v>
      </c>
      <c r="F73" s="377">
        <f>'Arnold Palmer Green 1 689'!F75</f>
        <v>15</v>
      </c>
      <c r="G73" s="239"/>
      <c r="H73" s="139">
        <f t="shared" si="3"/>
        <v>0</v>
      </c>
      <c r="J73" s="227"/>
      <c r="K73" s="227"/>
      <c r="L73" s="227"/>
      <c r="M73" s="227"/>
      <c r="N73" s="250">
        <f>'Arnold Palmer Green 1 689'!H75</f>
        <v>0</v>
      </c>
      <c r="O73" s="234"/>
      <c r="P73" s="235"/>
      <c r="Q73" s="234"/>
      <c r="R73" s="236"/>
      <c r="S73" s="234"/>
      <c r="T73" s="234"/>
      <c r="U73" s="237"/>
      <c r="V73" s="234"/>
      <c r="W73" s="234"/>
      <c r="X73" s="234"/>
    </row>
    <row r="74" spans="2:24" s="220" customFormat="1" ht="12.95" customHeight="1" x14ac:dyDescent="0.2">
      <c r="B74" s="13">
        <f t="shared" ref="B74:B77" si="5">B73+1</f>
        <v>55</v>
      </c>
      <c r="C74" s="238" t="s">
        <v>212</v>
      </c>
      <c r="D74" s="240"/>
      <c r="E74" s="231" t="s">
        <v>35</v>
      </c>
      <c r="F74" s="377">
        <f>'Arnold Palmer Green 1 689'!F76</f>
        <v>1</v>
      </c>
      <c r="G74" s="239"/>
      <c r="H74" s="139">
        <f t="shared" si="3"/>
        <v>0</v>
      </c>
      <c r="J74" s="227"/>
      <c r="K74" s="227"/>
      <c r="L74" s="227"/>
      <c r="M74" s="227"/>
      <c r="N74" s="250">
        <f>'Arnold Palmer Green 1 689'!H76</f>
        <v>0</v>
      </c>
      <c r="O74" s="234"/>
      <c r="P74" s="235"/>
      <c r="Q74" s="234"/>
      <c r="R74" s="236"/>
      <c r="S74" s="234"/>
      <c r="T74" s="234"/>
      <c r="U74" s="237"/>
      <c r="V74" s="234"/>
      <c r="W74" s="234"/>
      <c r="X74" s="234"/>
    </row>
    <row r="75" spans="2:24" s="220" customFormat="1" ht="12.95" customHeight="1" x14ac:dyDescent="0.2">
      <c r="B75" s="13">
        <f t="shared" si="5"/>
        <v>56</v>
      </c>
      <c r="C75" s="238" t="s">
        <v>213</v>
      </c>
      <c r="D75" s="240"/>
      <c r="E75" s="231" t="s">
        <v>5</v>
      </c>
      <c r="F75" s="377">
        <f>'Arnold Palmer Green 1 689'!F77</f>
        <v>26</v>
      </c>
      <c r="G75" s="239"/>
      <c r="H75" s="139">
        <f t="shared" si="3"/>
        <v>0</v>
      </c>
      <c r="J75" s="227"/>
      <c r="K75" s="227"/>
      <c r="L75" s="227"/>
      <c r="M75" s="227"/>
      <c r="N75" s="250">
        <f>'Arnold Palmer Green 1 689'!H77</f>
        <v>0</v>
      </c>
      <c r="O75" s="234"/>
      <c r="P75" s="235"/>
      <c r="Q75" s="234"/>
      <c r="R75" s="236"/>
      <c r="S75" s="234"/>
      <c r="T75" s="234"/>
      <c r="U75" s="237"/>
      <c r="V75" s="234"/>
      <c r="W75" s="234"/>
      <c r="X75" s="234"/>
    </row>
    <row r="76" spans="2:24" s="220" customFormat="1" ht="12.95" customHeight="1" x14ac:dyDescent="0.2">
      <c r="B76" s="13">
        <f t="shared" si="5"/>
        <v>57</v>
      </c>
      <c r="C76" s="238" t="s">
        <v>214</v>
      </c>
      <c r="D76" s="240"/>
      <c r="E76" s="231" t="s">
        <v>5</v>
      </c>
      <c r="F76" s="377">
        <f>'Arnold Palmer Green 1 689'!F78</f>
        <v>32</v>
      </c>
      <c r="G76" s="239"/>
      <c r="H76" s="139">
        <f t="shared" si="3"/>
        <v>0</v>
      </c>
      <c r="J76" s="227"/>
      <c r="K76" s="227"/>
      <c r="L76" s="227"/>
      <c r="M76" s="227"/>
      <c r="N76" s="250">
        <f>'Arnold Palmer Green 1 689'!H78</f>
        <v>0</v>
      </c>
      <c r="O76" s="234"/>
      <c r="P76" s="235"/>
      <c r="Q76" s="234"/>
      <c r="R76" s="236"/>
      <c r="S76" s="234"/>
      <c r="T76" s="234"/>
      <c r="U76" s="237"/>
      <c r="V76" s="234"/>
      <c r="W76" s="234"/>
      <c r="X76" s="234"/>
    </row>
    <row r="77" spans="2:24" s="220" customFormat="1" ht="12.95" customHeight="1" x14ac:dyDescent="0.2">
      <c r="B77" s="13">
        <f t="shared" si="5"/>
        <v>58</v>
      </c>
      <c r="C77" s="238" t="s">
        <v>34</v>
      </c>
      <c r="D77" s="240"/>
      <c r="E77" s="242"/>
      <c r="F77" s="242"/>
      <c r="G77" s="244"/>
      <c r="H77" s="298"/>
      <c r="J77" s="227"/>
      <c r="K77" s="227"/>
      <c r="L77" s="227"/>
      <c r="M77" s="227"/>
      <c r="N77" s="250"/>
      <c r="O77" s="234"/>
      <c r="P77" s="235"/>
      <c r="Q77" s="234"/>
      <c r="R77" s="236"/>
      <c r="S77" s="234"/>
      <c r="T77" s="234"/>
      <c r="U77" s="237"/>
      <c r="V77" s="234"/>
      <c r="W77" s="234"/>
      <c r="X77" s="234"/>
    </row>
    <row r="78" spans="2:24" s="220" customFormat="1" ht="12.95" customHeight="1" x14ac:dyDescent="0.2">
      <c r="B78" s="246">
        <f>B77+0.1</f>
        <v>58.1</v>
      </c>
      <c r="C78" s="238" t="s">
        <v>266</v>
      </c>
      <c r="D78" s="240"/>
      <c r="E78" s="231" t="s">
        <v>6</v>
      </c>
      <c r="F78" s="377">
        <f>'Arnold Palmer Green 1 689'!F80</f>
        <v>1</v>
      </c>
      <c r="G78" s="239"/>
      <c r="H78" s="139">
        <f t="shared" si="3"/>
        <v>0</v>
      </c>
      <c r="J78" s="227"/>
      <c r="K78" s="227"/>
      <c r="L78" s="227"/>
      <c r="M78" s="227"/>
      <c r="N78" s="250">
        <f>'Arnold Palmer Green 1 689'!H80</f>
        <v>0</v>
      </c>
      <c r="O78" s="234"/>
      <c r="P78" s="235"/>
      <c r="Q78" s="234"/>
      <c r="R78" s="236"/>
      <c r="S78" s="234"/>
      <c r="T78" s="234"/>
      <c r="U78" s="237"/>
      <c r="V78" s="234"/>
      <c r="W78" s="234"/>
      <c r="X78" s="234"/>
    </row>
    <row r="79" spans="2:24" s="220" customFormat="1" ht="12.95" customHeight="1" x14ac:dyDescent="0.2">
      <c r="B79" s="246">
        <f t="shared" ref="B79:B85" si="6">B78+0.1</f>
        <v>58.2</v>
      </c>
      <c r="C79" s="238" t="s">
        <v>267</v>
      </c>
      <c r="D79" s="240"/>
      <c r="E79" s="231" t="s">
        <v>6</v>
      </c>
      <c r="F79" s="377">
        <f>'Arnold Palmer Green 1 689'!F81</f>
        <v>1</v>
      </c>
      <c r="G79" s="239"/>
      <c r="H79" s="139">
        <f t="shared" si="3"/>
        <v>0</v>
      </c>
      <c r="J79" s="227"/>
      <c r="K79" s="227"/>
      <c r="L79" s="227"/>
      <c r="M79" s="227"/>
      <c r="N79" s="250">
        <f>'Arnold Palmer Green 1 689'!H81</f>
        <v>0</v>
      </c>
      <c r="O79" s="234"/>
      <c r="P79" s="235"/>
      <c r="Q79" s="234"/>
      <c r="R79" s="236"/>
      <c r="S79" s="234"/>
      <c r="T79" s="234"/>
      <c r="U79" s="237"/>
      <c r="V79" s="234"/>
      <c r="W79" s="234"/>
      <c r="X79" s="234"/>
    </row>
    <row r="80" spans="2:24" s="220" customFormat="1" ht="12.95" customHeight="1" x14ac:dyDescent="0.2">
      <c r="B80" s="246">
        <f t="shared" si="6"/>
        <v>58.300000000000004</v>
      </c>
      <c r="C80" s="238" t="s">
        <v>215</v>
      </c>
      <c r="D80" s="240"/>
      <c r="E80" s="231" t="s">
        <v>6</v>
      </c>
      <c r="F80" s="377">
        <f>'Arnold Palmer Green 1 689'!F82</f>
        <v>2</v>
      </c>
      <c r="G80" s="239"/>
      <c r="H80" s="139">
        <f t="shared" si="3"/>
        <v>0</v>
      </c>
      <c r="J80" s="227"/>
      <c r="K80" s="227"/>
      <c r="L80" s="227"/>
      <c r="M80" s="227"/>
      <c r="N80" s="250">
        <f>'Arnold Palmer Green 1 689'!H82</f>
        <v>0</v>
      </c>
      <c r="O80" s="234"/>
      <c r="P80" s="235"/>
      <c r="Q80" s="234"/>
      <c r="R80" s="236"/>
      <c r="S80" s="234"/>
      <c r="T80" s="234"/>
      <c r="U80" s="237"/>
      <c r="V80" s="234"/>
      <c r="W80" s="234"/>
      <c r="X80" s="234"/>
    </row>
    <row r="81" spans="2:24" s="220" customFormat="1" ht="12.95" customHeight="1" x14ac:dyDescent="0.2">
      <c r="B81" s="246">
        <f t="shared" si="6"/>
        <v>58.400000000000006</v>
      </c>
      <c r="C81" s="238" t="s">
        <v>144</v>
      </c>
      <c r="D81" s="240"/>
      <c r="E81" s="231" t="s">
        <v>6</v>
      </c>
      <c r="F81" s="377">
        <f>'Arnold Palmer Green 1 689'!F83</f>
        <v>1</v>
      </c>
      <c r="G81" s="239"/>
      <c r="H81" s="139">
        <f t="shared" si="3"/>
        <v>0</v>
      </c>
      <c r="J81" s="227"/>
      <c r="K81" s="227"/>
      <c r="L81" s="227"/>
      <c r="M81" s="227"/>
      <c r="N81" s="250">
        <f>'Arnold Palmer Green 1 689'!H83</f>
        <v>0</v>
      </c>
      <c r="O81" s="234"/>
      <c r="P81" s="235"/>
      <c r="Q81" s="234"/>
      <c r="R81" s="236"/>
      <c r="S81" s="234"/>
      <c r="T81" s="234"/>
      <c r="U81" s="237"/>
      <c r="V81" s="234"/>
      <c r="W81" s="234"/>
      <c r="X81" s="234"/>
    </row>
    <row r="82" spans="2:24" s="220" customFormat="1" ht="12.95" customHeight="1" x14ac:dyDescent="0.2">
      <c r="B82" s="246">
        <f t="shared" si="6"/>
        <v>58.500000000000007</v>
      </c>
      <c r="C82" s="238" t="s">
        <v>216</v>
      </c>
      <c r="D82" s="240"/>
      <c r="E82" s="231" t="s">
        <v>6</v>
      </c>
      <c r="F82" s="377">
        <f>'Arnold Palmer Green 1 689'!F84</f>
        <v>1</v>
      </c>
      <c r="G82" s="239"/>
      <c r="H82" s="139">
        <f t="shared" si="3"/>
        <v>0</v>
      </c>
      <c r="J82" s="227"/>
      <c r="K82" s="227"/>
      <c r="L82" s="227"/>
      <c r="M82" s="227"/>
      <c r="N82" s="250">
        <f>'Arnold Palmer Green 1 689'!H84</f>
        <v>0</v>
      </c>
      <c r="O82" s="234"/>
      <c r="P82" s="235"/>
      <c r="Q82" s="234"/>
      <c r="R82" s="236"/>
      <c r="S82" s="234"/>
      <c r="T82" s="234"/>
      <c r="U82" s="237"/>
      <c r="V82" s="234"/>
      <c r="W82" s="234"/>
      <c r="X82" s="234"/>
    </row>
    <row r="83" spans="2:24" s="220" customFormat="1" ht="12.95" customHeight="1" x14ac:dyDescent="0.2">
      <c r="B83" s="246">
        <f t="shared" si="6"/>
        <v>58.600000000000009</v>
      </c>
      <c r="C83" s="238" t="s">
        <v>217</v>
      </c>
      <c r="D83" s="240"/>
      <c r="E83" s="231" t="s">
        <v>6</v>
      </c>
      <c r="F83" s="377">
        <f>'Arnold Palmer Green 1 689'!F85</f>
        <v>1</v>
      </c>
      <c r="G83" s="239"/>
      <c r="H83" s="139">
        <f t="shared" si="3"/>
        <v>0</v>
      </c>
      <c r="J83" s="227"/>
      <c r="K83" s="227"/>
      <c r="L83" s="227"/>
      <c r="M83" s="227"/>
      <c r="N83" s="250">
        <f>'Arnold Palmer Green 1 689'!H85</f>
        <v>0</v>
      </c>
      <c r="O83" s="234"/>
      <c r="P83" s="235"/>
      <c r="Q83" s="234"/>
      <c r="R83" s="236"/>
      <c r="S83" s="234"/>
      <c r="T83" s="234"/>
      <c r="U83" s="237"/>
      <c r="V83" s="234"/>
      <c r="W83" s="234"/>
      <c r="X83" s="234"/>
    </row>
    <row r="84" spans="2:24" s="220" customFormat="1" ht="12.95" customHeight="1" x14ac:dyDescent="0.2">
      <c r="B84" s="246">
        <f t="shared" si="6"/>
        <v>58.70000000000001</v>
      </c>
      <c r="C84" s="238" t="s">
        <v>218</v>
      </c>
      <c r="D84" s="240"/>
      <c r="E84" s="231" t="s">
        <v>6</v>
      </c>
      <c r="F84" s="377">
        <f>'Arnold Palmer Green 1 689'!F86</f>
        <v>1</v>
      </c>
      <c r="G84" s="239"/>
      <c r="H84" s="139">
        <f t="shared" si="3"/>
        <v>0</v>
      </c>
      <c r="J84" s="227"/>
      <c r="K84" s="227"/>
      <c r="L84" s="227"/>
      <c r="M84" s="227"/>
      <c r="N84" s="250">
        <f>'Arnold Palmer Green 1 689'!H86</f>
        <v>0</v>
      </c>
      <c r="O84" s="234"/>
      <c r="P84" s="235"/>
      <c r="Q84" s="234"/>
      <c r="R84" s="236"/>
      <c r="S84" s="234"/>
      <c r="T84" s="234"/>
      <c r="U84" s="237"/>
      <c r="V84" s="234"/>
      <c r="W84" s="234"/>
      <c r="X84" s="234"/>
    </row>
    <row r="85" spans="2:24" s="220" customFormat="1" ht="12.95" customHeight="1" x14ac:dyDescent="0.2">
      <c r="B85" s="246">
        <f t="shared" si="6"/>
        <v>58.800000000000011</v>
      </c>
      <c r="C85" s="238" t="s">
        <v>219</v>
      </c>
      <c r="D85" s="240"/>
      <c r="E85" s="231" t="s">
        <v>6</v>
      </c>
      <c r="F85" s="377">
        <f>'Arnold Palmer Green 1 689'!F87</f>
        <v>1</v>
      </c>
      <c r="G85" s="239"/>
      <c r="H85" s="139">
        <f t="shared" si="3"/>
        <v>0</v>
      </c>
      <c r="J85" s="227"/>
      <c r="K85" s="227"/>
      <c r="L85" s="227"/>
      <c r="M85" s="227"/>
      <c r="N85" s="250">
        <f>'Arnold Palmer Green 1 689'!H87</f>
        <v>0</v>
      </c>
      <c r="O85" s="234"/>
      <c r="P85" s="235"/>
      <c r="Q85" s="234"/>
      <c r="R85" s="236"/>
      <c r="S85" s="234"/>
      <c r="T85" s="234"/>
      <c r="U85" s="237"/>
      <c r="V85" s="234"/>
      <c r="W85" s="234"/>
      <c r="X85" s="234"/>
    </row>
    <row r="86" spans="2:24" s="220" customFormat="1" ht="12.95" customHeight="1" x14ac:dyDescent="0.2">
      <c r="B86" s="228">
        <f>B77+1</f>
        <v>59</v>
      </c>
      <c r="C86" s="238" t="s">
        <v>220</v>
      </c>
      <c r="D86" s="240"/>
      <c r="E86" s="231" t="s">
        <v>5</v>
      </c>
      <c r="F86" s="377">
        <f>'Arnold Palmer Green 1 689'!F88</f>
        <v>15</v>
      </c>
      <c r="G86" s="239"/>
      <c r="H86" s="139">
        <f t="shared" si="3"/>
        <v>0</v>
      </c>
      <c r="J86" s="227"/>
      <c r="K86" s="227"/>
      <c r="L86" s="227"/>
      <c r="M86" s="227"/>
      <c r="N86" s="250">
        <f>'Arnold Palmer Green 1 689'!H88</f>
        <v>0</v>
      </c>
      <c r="O86" s="234"/>
      <c r="P86" s="235"/>
      <c r="Q86" s="234"/>
      <c r="R86" s="236"/>
      <c r="S86" s="234"/>
      <c r="T86" s="234"/>
      <c r="U86" s="237"/>
      <c r="V86" s="234"/>
      <c r="W86" s="234"/>
      <c r="X86" s="234"/>
    </row>
    <row r="87" spans="2:24" s="220" customFormat="1" ht="12.95" customHeight="1" x14ac:dyDescent="0.2">
      <c r="B87" s="228">
        <f t="shared" ref="B87:B89" si="7">B86+1</f>
        <v>60</v>
      </c>
      <c r="C87" s="238" t="s">
        <v>161</v>
      </c>
      <c r="D87" s="240"/>
      <c r="E87" s="231" t="s">
        <v>6</v>
      </c>
      <c r="F87" s="377">
        <f>'Arnold Palmer Green 1 689'!F89</f>
        <v>1</v>
      </c>
      <c r="G87" s="239"/>
      <c r="H87" s="139">
        <f t="shared" si="3"/>
        <v>0</v>
      </c>
      <c r="J87" s="227"/>
      <c r="K87" s="227"/>
      <c r="L87" s="227"/>
      <c r="M87" s="227"/>
      <c r="N87" s="250">
        <f>'Arnold Palmer Green 1 689'!H89</f>
        <v>0</v>
      </c>
      <c r="O87" s="234"/>
      <c r="P87" s="235"/>
      <c r="Q87" s="234"/>
      <c r="R87" s="236"/>
      <c r="S87" s="234"/>
      <c r="T87" s="234"/>
      <c r="U87" s="237"/>
      <c r="V87" s="234"/>
      <c r="W87" s="234"/>
      <c r="X87" s="234"/>
    </row>
    <row r="88" spans="2:24" s="220" customFormat="1" x14ac:dyDescent="0.2">
      <c r="B88" s="228">
        <f t="shared" si="7"/>
        <v>61</v>
      </c>
      <c r="C88" s="238" t="s">
        <v>221</v>
      </c>
      <c r="D88" s="240"/>
      <c r="E88" s="231" t="s">
        <v>5</v>
      </c>
      <c r="F88" s="377">
        <f>'Arnold Palmer Green 1 689'!F90</f>
        <v>28</v>
      </c>
      <c r="G88" s="239"/>
      <c r="H88" s="139">
        <f t="shared" si="3"/>
        <v>0</v>
      </c>
      <c r="J88" s="227"/>
      <c r="K88" s="227"/>
      <c r="L88" s="227"/>
      <c r="M88" s="227"/>
      <c r="N88" s="250">
        <f>'Arnold Palmer Green 1 689'!H90</f>
        <v>0</v>
      </c>
      <c r="P88" s="225"/>
      <c r="R88" s="226"/>
      <c r="U88" s="227"/>
    </row>
    <row r="89" spans="2:24" s="220" customFormat="1" ht="12.75" customHeight="1" x14ac:dyDescent="0.2">
      <c r="B89" s="228">
        <f t="shared" si="7"/>
        <v>62</v>
      </c>
      <c r="C89" s="238" t="s">
        <v>222</v>
      </c>
      <c r="D89" s="240"/>
      <c r="E89" s="231" t="s">
        <v>35</v>
      </c>
      <c r="F89" s="377">
        <f>'Arnold Palmer Green 1 689'!F91</f>
        <v>1</v>
      </c>
      <c r="G89" s="239"/>
      <c r="H89" s="139">
        <f t="shared" si="3"/>
        <v>0</v>
      </c>
      <c r="J89" s="227"/>
      <c r="K89" s="227"/>
      <c r="L89" s="227"/>
      <c r="M89" s="227"/>
      <c r="N89" s="250">
        <f>'Arnold Palmer Green 1 689'!H91</f>
        <v>0</v>
      </c>
      <c r="P89" s="225"/>
      <c r="R89" s="226"/>
      <c r="U89" s="227"/>
    </row>
    <row r="90" spans="2:24" ht="12" customHeight="1" thickBot="1" x14ac:dyDescent="0.25">
      <c r="B90" s="13"/>
      <c r="C90" s="454"/>
      <c r="D90" s="455"/>
      <c r="E90" s="18"/>
      <c r="F90" s="15"/>
      <c r="G90" s="16"/>
      <c r="H90" s="299"/>
      <c r="J90" s="249"/>
      <c r="K90" s="250"/>
      <c r="L90" s="249"/>
      <c r="M90" s="250"/>
      <c r="N90" s="250"/>
    </row>
    <row r="91" spans="2:24" ht="17.100000000000001" customHeight="1" thickBot="1" x14ac:dyDescent="0.25">
      <c r="B91" s="13"/>
      <c r="C91" s="443" t="s">
        <v>133</v>
      </c>
      <c r="D91" s="444"/>
      <c r="E91" s="146"/>
      <c r="F91" s="147"/>
      <c r="G91" s="148"/>
      <c r="H91" s="140">
        <f>SUM(H9:H90)</f>
        <v>0</v>
      </c>
      <c r="J91" s="249">
        <f>SUM(J9:J67)</f>
        <v>0</v>
      </c>
      <c r="K91" s="249">
        <f>SUM(K9:K90)</f>
        <v>0</v>
      </c>
      <c r="L91" s="249">
        <f>SUM(L9:L90)</f>
        <v>0</v>
      </c>
      <c r="M91" s="249">
        <f>SUM(M9:M90)</f>
        <v>0</v>
      </c>
      <c r="N91" s="249">
        <f>SUM(N9:N90)</f>
        <v>0</v>
      </c>
    </row>
    <row r="92" spans="2:24" ht="12.95" customHeight="1" x14ac:dyDescent="0.2">
      <c r="B92" s="32">
        <f>MAX(B9:B90)+1</f>
        <v>63</v>
      </c>
      <c r="C92" s="441" t="s">
        <v>275</v>
      </c>
      <c r="D92" s="442"/>
      <c r="E92" s="33" t="s">
        <v>35</v>
      </c>
      <c r="F92" s="34"/>
      <c r="G92" s="35"/>
      <c r="H92" s="141">
        <f>SUM(J92:N92)</f>
        <v>0</v>
      </c>
      <c r="J92" s="249">
        <f>'New 301 Ind Park 344'!H73</f>
        <v>0</v>
      </c>
      <c r="K92" s="250">
        <f>'Lakewood Meadows 388'!H73</f>
        <v>0</v>
      </c>
      <c r="L92" s="249">
        <f>'Mote Ranch 3 398'!H73</f>
        <v>0</v>
      </c>
      <c r="M92" s="250">
        <f>'41A 454'!H73</f>
        <v>0</v>
      </c>
      <c r="N92" s="250">
        <f>'Arnold Palmer Green 1 689'!H95</f>
        <v>0</v>
      </c>
    </row>
    <row r="93" spans="2:24" ht="12.75" customHeight="1" x14ac:dyDescent="0.2">
      <c r="B93" s="13">
        <f>B92+1</f>
        <v>64</v>
      </c>
      <c r="C93" s="180" t="s">
        <v>276</v>
      </c>
      <c r="D93" s="181"/>
      <c r="E93" s="21" t="s">
        <v>35</v>
      </c>
      <c r="F93" s="36"/>
      <c r="G93" s="37"/>
      <c r="H93" s="142">
        <f>SUM(J93:N93)</f>
        <v>0</v>
      </c>
      <c r="J93" s="249">
        <f>'New 301 Ind Park 344'!H74</f>
        <v>0</v>
      </c>
      <c r="K93" s="250">
        <f>'Lakewood Meadows 388'!H74</f>
        <v>0</v>
      </c>
      <c r="L93" s="249">
        <f>'Mote Ranch 3 398'!H74</f>
        <v>0</v>
      </c>
      <c r="M93" s="250">
        <f>'41A 454'!H74</f>
        <v>0</v>
      </c>
      <c r="N93" s="250">
        <f>'Arnold Palmer Green 1 689'!H96</f>
        <v>0</v>
      </c>
    </row>
    <row r="94" spans="2:24" ht="12.75" customHeight="1" thickBot="1" x14ac:dyDescent="0.25">
      <c r="B94" s="13">
        <f>B93+1</f>
        <v>65</v>
      </c>
      <c r="C94" s="439" t="s">
        <v>78</v>
      </c>
      <c r="D94" s="440"/>
      <c r="E94" s="21"/>
      <c r="F94" s="378">
        <v>0.1</v>
      </c>
      <c r="G94" s="37"/>
      <c r="H94" s="142">
        <f>SUM(J94:N94)</f>
        <v>0</v>
      </c>
      <c r="I94" s="296"/>
      <c r="J94" s="249">
        <f>'New 301 Ind Park 344'!H75</f>
        <v>0</v>
      </c>
      <c r="K94" s="250">
        <f>'Lakewood Meadows 388'!H75</f>
        <v>0</v>
      </c>
      <c r="L94" s="249">
        <f>'Mote Ranch 3 398'!H75</f>
        <v>0</v>
      </c>
      <c r="M94" s="250">
        <f>'41A 454'!H75</f>
        <v>0</v>
      </c>
      <c r="N94" s="250">
        <f>'Arnold Palmer Green 1 689'!H97</f>
        <v>0</v>
      </c>
    </row>
    <row r="95" spans="2:24" ht="20.100000000000001" customHeight="1" thickBot="1" x14ac:dyDescent="0.25">
      <c r="B95" s="28"/>
      <c r="C95" s="437" t="s">
        <v>3</v>
      </c>
      <c r="D95" s="438"/>
      <c r="E95" s="29"/>
      <c r="F95" s="30"/>
      <c r="G95" s="31"/>
      <c r="H95" s="140">
        <f>SUM(H91:H94)</f>
        <v>0</v>
      </c>
      <c r="J95" s="249">
        <f>SUM(J91:J94)</f>
        <v>0</v>
      </c>
      <c r="K95" s="249">
        <f t="shared" ref="K95:N95" si="8">SUM(K91:K94)</f>
        <v>0</v>
      </c>
      <c r="L95" s="249">
        <f t="shared" si="8"/>
        <v>0</v>
      </c>
      <c r="M95" s="249">
        <f t="shared" si="8"/>
        <v>0</v>
      </c>
      <c r="N95" s="249">
        <f t="shared" si="8"/>
        <v>0</v>
      </c>
    </row>
    <row r="96" spans="2:24" ht="12.75" hidden="1" customHeight="1" x14ac:dyDescent="0.2">
      <c r="C96" s="1" t="s">
        <v>134</v>
      </c>
    </row>
    <row r="97" spans="2:9" ht="12.75" hidden="1" customHeight="1" x14ac:dyDescent="0.2"/>
    <row r="98" spans="2:9" ht="12.75" hidden="1" customHeight="1" x14ac:dyDescent="0.2">
      <c r="B98" s="38" t="s">
        <v>4</v>
      </c>
      <c r="C98" s="1" t="s">
        <v>7</v>
      </c>
    </row>
    <row r="99" spans="2:9" ht="12.75" hidden="1" customHeight="1" x14ac:dyDescent="0.2"/>
    <row r="100" spans="2:9" ht="12.75" hidden="1" customHeight="1" x14ac:dyDescent="0.2">
      <c r="C100" s="39"/>
      <c r="D100" s="39"/>
      <c r="E100" s="40"/>
      <c r="F100" s="41"/>
      <c r="G100" s="42"/>
      <c r="H100" s="42"/>
      <c r="I100" s="42"/>
    </row>
    <row r="101" spans="2:9" ht="12.75" hidden="1" customHeight="1" x14ac:dyDescent="0.2">
      <c r="C101" s="39"/>
      <c r="D101" s="39"/>
      <c r="E101" s="40"/>
      <c r="F101" s="41"/>
      <c r="G101" s="42"/>
      <c r="H101" s="43"/>
      <c r="I101" s="42"/>
    </row>
    <row r="102" spans="2:9" ht="12.75" hidden="1" customHeight="1" x14ac:dyDescent="0.2">
      <c r="C102" s="39" t="s">
        <v>263</v>
      </c>
      <c r="D102" s="39"/>
      <c r="E102" s="40"/>
      <c r="F102" s="44"/>
      <c r="G102" s="39"/>
      <c r="H102" s="39"/>
      <c r="I102" s="42"/>
    </row>
    <row r="103" spans="2:9" ht="12.75" hidden="1" customHeight="1" x14ac:dyDescent="0.2">
      <c r="C103" s="39" t="s">
        <v>264</v>
      </c>
      <c r="D103" s="275"/>
      <c r="E103" s="276"/>
      <c r="F103" s="277"/>
      <c r="G103" s="278"/>
      <c r="H103" s="279"/>
      <c r="I103" s="42"/>
    </row>
    <row r="104" spans="2:9" ht="12.75" hidden="1" customHeight="1" x14ac:dyDescent="0.2">
      <c r="C104" s="39"/>
      <c r="D104" s="39"/>
      <c r="E104" s="40"/>
      <c r="F104" s="44"/>
      <c r="G104" s="42"/>
      <c r="H104" s="42"/>
      <c r="I104" s="42"/>
    </row>
    <row r="105" spans="2:9" ht="12.75" hidden="1" customHeight="1" x14ac:dyDescent="0.2">
      <c r="C105" s="39"/>
      <c r="D105" s="39"/>
      <c r="E105" s="40"/>
      <c r="F105" s="44"/>
      <c r="G105" s="42"/>
      <c r="H105" s="42"/>
      <c r="I105" s="42"/>
    </row>
    <row r="106" spans="2:9" ht="12.75" hidden="1" customHeight="1" x14ac:dyDescent="0.2">
      <c r="C106" s="39"/>
      <c r="D106" s="39"/>
      <c r="E106" s="40"/>
      <c r="F106" s="44"/>
      <c r="G106" s="42"/>
      <c r="H106" s="42"/>
      <c r="I106" s="42"/>
    </row>
    <row r="107" spans="2:9" ht="12.75" hidden="1" customHeight="1" x14ac:dyDescent="0.2">
      <c r="C107" s="39"/>
      <c r="D107" s="39"/>
      <c r="E107" s="40"/>
      <c r="F107" s="44"/>
      <c r="G107" s="42"/>
      <c r="H107" s="42"/>
      <c r="I107" s="42"/>
    </row>
    <row r="108" spans="2:9" ht="12.75" hidden="1" customHeight="1" x14ac:dyDescent="0.2">
      <c r="C108" s="39"/>
      <c r="D108" s="39"/>
      <c r="E108" s="45"/>
      <c r="F108" s="46"/>
      <c r="G108" s="42"/>
      <c r="H108" s="42"/>
      <c r="I108" s="42"/>
    </row>
    <row r="109" spans="2:9" ht="12.75" hidden="1" customHeight="1" x14ac:dyDescent="0.2">
      <c r="C109" s="39"/>
      <c r="D109" s="39"/>
      <c r="E109" s="39"/>
      <c r="F109" s="47"/>
      <c r="G109" s="47"/>
      <c r="H109" s="42"/>
      <c r="I109" s="42"/>
    </row>
    <row r="110" spans="2:9" ht="12.75" hidden="1" customHeight="1" x14ac:dyDescent="0.2">
      <c r="C110" s="39"/>
      <c r="D110" s="39"/>
      <c r="E110" s="45"/>
      <c r="F110" s="46"/>
      <c r="G110" s="42"/>
      <c r="H110" s="42"/>
      <c r="I110" s="42"/>
    </row>
    <row r="111" spans="2:9" ht="12.75" hidden="1" customHeight="1" x14ac:dyDescent="0.2">
      <c r="B111" s="265">
        <f t="shared" ref="B111" si="9">1+B110</f>
        <v>1</v>
      </c>
      <c r="C111" s="266" t="s">
        <v>253</v>
      </c>
      <c r="D111" s="267"/>
      <c r="E111" s="267"/>
      <c r="F111" s="268"/>
      <c r="G111" s="269"/>
      <c r="H111" s="42"/>
      <c r="I111" s="42"/>
    </row>
    <row r="112" spans="2:9" ht="12.75" hidden="1" customHeight="1" x14ac:dyDescent="0.2">
      <c r="B112" s="265">
        <f>B111+0.01</f>
        <v>1.01</v>
      </c>
      <c r="C112" s="266" t="s">
        <v>254</v>
      </c>
      <c r="D112" s="270" t="s">
        <v>6</v>
      </c>
      <c r="E112" s="271">
        <v>7</v>
      </c>
      <c r="F112" s="272"/>
      <c r="G112" s="273">
        <f t="shared" ref="G112:G114" si="10">E112*F112</f>
        <v>0</v>
      </c>
      <c r="H112" s="42"/>
      <c r="I112" s="42"/>
    </row>
    <row r="113" spans="2:9" ht="12.75" hidden="1" customHeight="1" x14ac:dyDescent="0.2">
      <c r="B113" s="265">
        <f t="shared" ref="B113:B114" si="11">B112+0.01</f>
        <v>1.02</v>
      </c>
      <c r="C113" s="266" t="s">
        <v>255</v>
      </c>
      <c r="D113" s="270" t="s">
        <v>6</v>
      </c>
      <c r="E113" s="271">
        <v>6</v>
      </c>
      <c r="F113" s="272"/>
      <c r="G113" s="273">
        <f t="shared" si="10"/>
        <v>0</v>
      </c>
      <c r="H113" s="42"/>
      <c r="I113" s="42"/>
    </row>
    <row r="114" spans="2:9" ht="12.75" hidden="1" customHeight="1" x14ac:dyDescent="0.2">
      <c r="B114" s="265">
        <f t="shared" si="11"/>
        <v>1.03</v>
      </c>
      <c r="C114" s="266" t="s">
        <v>256</v>
      </c>
      <c r="D114" s="270" t="s">
        <v>6</v>
      </c>
      <c r="E114" s="271">
        <v>1</v>
      </c>
      <c r="F114" s="272"/>
      <c r="G114" s="273">
        <f t="shared" si="10"/>
        <v>0</v>
      </c>
    </row>
    <row r="115" spans="2:9" ht="12.75" hidden="1" customHeight="1" x14ac:dyDescent="0.2"/>
    <row r="116" spans="2:9" ht="12.75" hidden="1" customHeight="1" x14ac:dyDescent="0.2"/>
  </sheetData>
  <mergeCells count="43">
    <mergeCell ref="B5:H5"/>
    <mergeCell ref="B1:C1"/>
    <mergeCell ref="B2:C2"/>
    <mergeCell ref="B4:C4"/>
    <mergeCell ref="B3:E3"/>
    <mergeCell ref="C16:D16"/>
    <mergeCell ref="C13:D13"/>
    <mergeCell ref="C46:D46"/>
    <mergeCell ref="C45:D45"/>
    <mergeCell ref="C44:D44"/>
    <mergeCell ref="C32:D32"/>
    <mergeCell ref="C30:D30"/>
    <mergeCell ref="C29:D29"/>
    <mergeCell ref="C28:D28"/>
    <mergeCell ref="C26:D26"/>
    <mergeCell ref="C17:D17"/>
    <mergeCell ref="C21:D21"/>
    <mergeCell ref="C40:D40"/>
    <mergeCell ref="C39:D39"/>
    <mergeCell ref="C18:D18"/>
    <mergeCell ref="C14:D14"/>
    <mergeCell ref="C31:D31"/>
    <mergeCell ref="C90:D90"/>
    <mergeCell ref="C47:D47"/>
    <mergeCell ref="C43:D43"/>
    <mergeCell ref="C41:D41"/>
    <mergeCell ref="C19:D19"/>
    <mergeCell ref="C24:D24"/>
    <mergeCell ref="C20:D20"/>
    <mergeCell ref="C25:D25"/>
    <mergeCell ref="C23:D23"/>
    <mergeCell ref="C95:D95"/>
    <mergeCell ref="C94:D94"/>
    <mergeCell ref="C92:D92"/>
    <mergeCell ref="C91:D91"/>
    <mergeCell ref="C33:D33"/>
    <mergeCell ref="B71:H71"/>
    <mergeCell ref="B7:H7"/>
    <mergeCell ref="C8:D8"/>
    <mergeCell ref="C9:D9"/>
    <mergeCell ref="C11:D11"/>
    <mergeCell ref="C12:D12"/>
    <mergeCell ref="C10:D10"/>
  </mergeCells>
  <printOptions horizontalCentered="1"/>
  <pageMargins left="0.5" right="0.5" top="1" bottom="0.75" header="0.5" footer="0.5"/>
  <pageSetup scale="96" fitToHeight="0" orientation="portrait" r:id="rId1"/>
  <headerFooter alignWithMargins="0">
    <oddFooter>&amp;LBidder:__________________________
Signature:_______________________&amp;C&amp;"Times New Roman,Regular"&amp;10Page &amp;P of &amp;N&amp;R&amp;"Times New Roman,Regular"&amp;8Appendix 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AG110"/>
  <sheetViews>
    <sheetView topLeftCell="B1" zoomScaleNormal="100" zoomScaleSheetLayoutView="100" workbookViewId="0">
      <selection activeCell="G38" sqref="G38"/>
    </sheetView>
  </sheetViews>
  <sheetFormatPr defaultRowHeight="12.75" x14ac:dyDescent="0.2"/>
  <cols>
    <col min="1" max="1" width="0" style="39" hidden="1" customWidth="1"/>
    <col min="2" max="2" width="6.77734375" style="45" customWidth="1"/>
    <col min="3" max="3" width="29.77734375" style="39" customWidth="1"/>
    <col min="4" max="4" width="11.77734375" style="39" customWidth="1"/>
    <col min="5" max="5" width="6.77734375" style="45" customWidth="1"/>
    <col min="6" max="6" width="6.77734375" style="46" customWidth="1"/>
    <col min="7" max="7" width="9.77734375" style="42" customWidth="1"/>
    <col min="8" max="8" width="13.77734375" style="42" customWidth="1"/>
    <col min="9" max="9" width="3.77734375" style="39" customWidth="1"/>
    <col min="10" max="10" width="5.77734375" style="39" hidden="1" customWidth="1"/>
    <col min="11" max="11" width="8" style="39" hidden="1" customWidth="1"/>
    <col min="12" max="12" width="6.77734375" style="39" hidden="1" customWidth="1"/>
    <col min="13" max="13" width="10.109375" style="39" hidden="1" customWidth="1"/>
    <col min="14" max="14" width="6.77734375" style="39" hidden="1" customWidth="1"/>
    <col min="15" max="15" width="7.88671875" style="39" hidden="1" customWidth="1"/>
    <col min="16" max="16" width="10.6640625" style="39" hidden="1" customWidth="1"/>
    <col min="17" max="19" width="6.77734375" style="39" hidden="1" customWidth="1"/>
    <col min="20" max="23" width="8.21875" style="39" customWidth="1"/>
    <col min="24" max="16384" width="8.88671875" style="39"/>
  </cols>
  <sheetData>
    <row r="1" spans="1:33" ht="20.100000000000001" customHeight="1" x14ac:dyDescent="0.25">
      <c r="B1" s="460" t="s">
        <v>271</v>
      </c>
      <c r="C1" s="460"/>
      <c r="D1" s="1"/>
      <c r="E1" s="2"/>
      <c r="F1" s="4"/>
      <c r="G1" s="5"/>
      <c r="H1" s="39"/>
      <c r="M1" s="45"/>
      <c r="N1" s="79"/>
      <c r="O1" s="80"/>
      <c r="P1" s="46"/>
      <c r="Q1" s="42"/>
      <c r="R1" s="58"/>
      <c r="S1" s="60"/>
      <c r="T1" s="61"/>
      <c r="U1" s="62"/>
      <c r="V1" s="63"/>
      <c r="W1" s="63"/>
      <c r="X1" s="59"/>
      <c r="Y1" s="59"/>
      <c r="Z1" s="59"/>
      <c r="AA1" s="59"/>
      <c r="AB1" s="59"/>
      <c r="AC1" s="59"/>
      <c r="AD1" s="59"/>
      <c r="AE1" s="59"/>
      <c r="AF1" s="59"/>
    </row>
    <row r="2" spans="1:33" ht="20.100000000000001" customHeight="1" x14ac:dyDescent="0.25">
      <c r="B2" s="460" t="s">
        <v>272</v>
      </c>
      <c r="C2" s="460"/>
      <c r="D2" s="1"/>
      <c r="E2" s="2"/>
      <c r="F2" s="4"/>
      <c r="G2" s="5"/>
      <c r="H2" s="39"/>
      <c r="M2" s="45"/>
      <c r="N2" s="79"/>
      <c r="O2" s="80"/>
      <c r="P2" s="46"/>
      <c r="Q2" s="42"/>
      <c r="R2" s="58"/>
      <c r="S2" s="60"/>
      <c r="T2" s="61"/>
      <c r="U2" s="62"/>
      <c r="V2" s="63"/>
      <c r="W2" s="63"/>
      <c r="X2" s="59"/>
      <c r="Y2" s="59"/>
      <c r="Z2" s="59"/>
      <c r="AA2" s="59"/>
      <c r="AB2" s="59"/>
      <c r="AC2" s="59"/>
      <c r="AD2" s="59"/>
      <c r="AE2" s="59"/>
      <c r="AF2" s="59"/>
    </row>
    <row r="3" spans="1:33" ht="20.100000000000001" customHeight="1" x14ac:dyDescent="0.25">
      <c r="B3" s="460" t="s">
        <v>274</v>
      </c>
      <c r="C3" s="460"/>
      <c r="D3" s="460"/>
      <c r="E3" s="460"/>
      <c r="F3" s="4"/>
      <c r="G3" s="5"/>
      <c r="H3" s="39"/>
      <c r="M3" s="45"/>
      <c r="N3" s="79"/>
      <c r="O3" s="80"/>
      <c r="P3" s="46"/>
      <c r="Q3" s="42"/>
      <c r="R3" s="58"/>
      <c r="S3" s="60"/>
      <c r="T3" s="61"/>
      <c r="U3" s="62"/>
      <c r="V3" s="63"/>
      <c r="W3" s="63"/>
      <c r="X3" s="59"/>
      <c r="Y3" s="59"/>
      <c r="Z3" s="59"/>
      <c r="AA3" s="59"/>
      <c r="AB3" s="59"/>
      <c r="AC3" s="59"/>
      <c r="AD3" s="59"/>
      <c r="AE3" s="59"/>
      <c r="AF3" s="59"/>
    </row>
    <row r="4" spans="1:33" ht="20.100000000000001" customHeight="1" x14ac:dyDescent="0.25">
      <c r="B4" s="461" t="s">
        <v>273</v>
      </c>
      <c r="C4" s="461"/>
      <c r="D4" s="2"/>
      <c r="E4" s="4"/>
      <c r="F4" s="5"/>
      <c r="G4" s="5"/>
      <c r="H4" s="39"/>
      <c r="M4" s="45"/>
      <c r="N4" s="79"/>
      <c r="O4" s="80"/>
      <c r="P4" s="46"/>
      <c r="Q4" s="42"/>
      <c r="R4" s="58"/>
      <c r="S4" s="60"/>
      <c r="T4" s="61"/>
      <c r="U4" s="62"/>
      <c r="V4" s="63"/>
      <c r="W4" s="63"/>
      <c r="X4" s="59"/>
      <c r="Y4" s="59"/>
      <c r="Z4" s="59"/>
      <c r="AA4" s="59"/>
      <c r="AB4" s="59"/>
      <c r="AC4" s="59"/>
      <c r="AD4" s="59"/>
      <c r="AE4" s="59"/>
      <c r="AF4" s="59"/>
    </row>
    <row r="5" spans="1:33" ht="20.100000000000001" customHeight="1" x14ac:dyDescent="0.2">
      <c r="B5" s="477" t="s">
        <v>284</v>
      </c>
      <c r="C5" s="477"/>
      <c r="D5" s="477"/>
      <c r="E5" s="477"/>
      <c r="F5" s="477"/>
      <c r="G5" s="477"/>
      <c r="H5" s="477"/>
      <c r="M5" s="45"/>
      <c r="N5" s="79"/>
      <c r="O5" s="80"/>
      <c r="P5" s="46"/>
      <c r="Q5" s="42"/>
      <c r="R5" s="58"/>
      <c r="S5" s="60"/>
      <c r="T5" s="61"/>
      <c r="U5" s="62"/>
      <c r="V5" s="63"/>
      <c r="W5" s="63"/>
      <c r="X5" s="59"/>
      <c r="Y5" s="59"/>
      <c r="Z5" s="59"/>
      <c r="AA5" s="59"/>
      <c r="AB5" s="59"/>
      <c r="AC5" s="59"/>
      <c r="AD5" s="59"/>
      <c r="AE5" s="59"/>
      <c r="AF5" s="59"/>
    </row>
    <row r="6" spans="1:33" ht="12.95" customHeight="1" thickBot="1" x14ac:dyDescent="0.25">
      <c r="B6" s="79"/>
      <c r="C6" s="79"/>
      <c r="D6" s="80"/>
      <c r="E6" s="46"/>
      <c r="F6" s="42"/>
      <c r="H6" s="39"/>
      <c r="M6" s="58"/>
      <c r="N6" s="60"/>
      <c r="O6" s="61"/>
      <c r="P6" s="62"/>
      <c r="Q6" s="63"/>
      <c r="R6" s="58"/>
      <c r="S6" s="60"/>
      <c r="T6" s="61"/>
      <c r="U6" s="62"/>
      <c r="V6" s="63"/>
      <c r="W6" s="63"/>
      <c r="X6" s="59"/>
      <c r="Y6" s="59"/>
      <c r="Z6" s="59"/>
      <c r="AA6" s="59"/>
      <c r="AB6" s="59"/>
      <c r="AC6" s="59"/>
      <c r="AD6" s="59"/>
      <c r="AE6" s="59"/>
      <c r="AF6" s="59"/>
    </row>
    <row r="7" spans="1:33" ht="17.100000000000001" customHeight="1" thickBot="1" x14ac:dyDescent="0.25">
      <c r="B7" s="472" t="s">
        <v>277</v>
      </c>
      <c r="C7" s="473"/>
      <c r="D7" s="473"/>
      <c r="E7" s="473"/>
      <c r="F7" s="473"/>
      <c r="G7" s="473"/>
      <c r="H7" s="47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59"/>
      <c r="Z7" s="59"/>
      <c r="AA7" s="59"/>
      <c r="AB7" s="59"/>
      <c r="AC7" s="59"/>
      <c r="AD7" s="59"/>
      <c r="AE7" s="59"/>
      <c r="AF7" s="59"/>
      <c r="AG7" s="59"/>
    </row>
    <row r="8" spans="1:33" s="81" customFormat="1" ht="26.25" thickBot="1" x14ac:dyDescent="0.25">
      <c r="B8" s="82" t="s">
        <v>12</v>
      </c>
      <c r="C8" s="475" t="s">
        <v>0</v>
      </c>
      <c r="D8" s="476"/>
      <c r="E8" s="83" t="s">
        <v>123</v>
      </c>
      <c r="F8" s="84" t="s">
        <v>2</v>
      </c>
      <c r="G8" s="85" t="s">
        <v>124</v>
      </c>
      <c r="H8" s="86" t="s">
        <v>29</v>
      </c>
      <c r="N8" s="65"/>
      <c r="O8" s="66"/>
      <c r="P8" s="65"/>
      <c r="Q8" s="65"/>
      <c r="R8" s="65"/>
      <c r="S8" s="65"/>
      <c r="T8" s="66"/>
      <c r="U8" s="65"/>
      <c r="V8" s="65"/>
      <c r="W8" s="65"/>
      <c r="X8" s="65"/>
      <c r="Y8" s="67"/>
      <c r="Z8" s="67"/>
      <c r="AA8" s="67"/>
      <c r="AB8" s="67"/>
      <c r="AC8" s="67"/>
      <c r="AD8" s="67"/>
      <c r="AE8" s="67"/>
      <c r="AF8" s="67"/>
      <c r="AG8" s="67"/>
    </row>
    <row r="9" spans="1:33" ht="12.95" customHeight="1" x14ac:dyDescent="0.2">
      <c r="A9" s="39" t="s">
        <v>44</v>
      </c>
      <c r="B9" s="87">
        <v>1</v>
      </c>
      <c r="C9" s="433" t="s">
        <v>8</v>
      </c>
      <c r="D9" s="434"/>
      <c r="E9" s="88" t="s">
        <v>9</v>
      </c>
      <c r="F9" s="15">
        <f>E88</f>
        <v>84</v>
      </c>
      <c r="G9" s="419"/>
      <c r="H9" s="153">
        <f>F9*G9</f>
        <v>0</v>
      </c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12.95" customHeight="1" x14ac:dyDescent="0.2">
      <c r="A10" s="39" t="s">
        <v>45</v>
      </c>
      <c r="B10" s="87">
        <f>B9+1</f>
        <v>2</v>
      </c>
      <c r="C10" s="435" t="s">
        <v>174</v>
      </c>
      <c r="D10" s="436"/>
      <c r="E10" s="18" t="s">
        <v>5</v>
      </c>
      <c r="F10" s="15">
        <f>IF(A92="No",ROUNDUP(((G83-1.5+E85)*A83),0),ROUNDUP(((G83+2+E85)*A83),0))</f>
        <v>27</v>
      </c>
      <c r="G10" s="419"/>
      <c r="H10" s="153">
        <f t="shared" ref="H10:H60" si="0">F10*G10</f>
        <v>0</v>
      </c>
      <c r="J10" s="159">
        <v>2</v>
      </c>
      <c r="K10" s="45"/>
      <c r="L10" s="45"/>
      <c r="M10" s="4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12.95" customHeight="1" x14ac:dyDescent="0.25">
      <c r="A11" s="39" t="s">
        <v>46</v>
      </c>
      <c r="B11" s="87">
        <f t="shared" ref="B11:B63" si="1">B10+1</f>
        <v>3</v>
      </c>
      <c r="C11" s="435" t="s">
        <v>175</v>
      </c>
      <c r="D11" s="436"/>
      <c r="E11" s="18" t="s">
        <v>6</v>
      </c>
      <c r="F11" s="15">
        <f>A83</f>
        <v>2</v>
      </c>
      <c r="G11" s="419"/>
      <c r="H11" s="153">
        <f t="shared" si="0"/>
        <v>0</v>
      </c>
      <c r="K11" s="45"/>
      <c r="L11" s="45"/>
      <c r="M11" s="45"/>
      <c r="N11" s="58"/>
      <c r="O11" s="68"/>
      <c r="P11" s="58"/>
      <c r="Q11" s="58"/>
      <c r="R11" s="388"/>
      <c r="S11" s="388"/>
      <c r="T11" s="68"/>
      <c r="U11" s="69"/>
      <c r="V11" s="49"/>
      <c r="W11" s="389"/>
      <c r="X11" s="51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12.95" customHeight="1" x14ac:dyDescent="0.25">
      <c r="A12" s="39" t="s">
        <v>47</v>
      </c>
      <c r="B12" s="87">
        <f t="shared" si="1"/>
        <v>4</v>
      </c>
      <c r="C12" s="435" t="s">
        <v>107</v>
      </c>
      <c r="D12" s="436"/>
      <c r="E12" s="18" t="s">
        <v>6</v>
      </c>
      <c r="F12" s="15">
        <f>A83</f>
        <v>2</v>
      </c>
      <c r="G12" s="419"/>
      <c r="H12" s="153">
        <f t="shared" si="0"/>
        <v>0</v>
      </c>
      <c r="J12" s="52"/>
      <c r="K12" s="90"/>
      <c r="L12" s="58"/>
      <c r="M12" s="58"/>
      <c r="N12" s="58"/>
      <c r="O12" s="390"/>
      <c r="P12" s="45"/>
      <c r="R12" s="391"/>
      <c r="S12" s="391"/>
      <c r="T12" s="53"/>
      <c r="U12" s="49"/>
      <c r="V12" s="49"/>
      <c r="W12" s="389"/>
      <c r="X12" s="51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12.95" customHeight="1" x14ac:dyDescent="0.25">
      <c r="A13" s="39" t="s">
        <v>48</v>
      </c>
      <c r="B13" s="87">
        <f t="shared" si="1"/>
        <v>5</v>
      </c>
      <c r="C13" s="435" t="s">
        <v>163</v>
      </c>
      <c r="D13" s="436"/>
      <c r="E13" s="18" t="s">
        <v>6</v>
      </c>
      <c r="F13" s="15">
        <f>IF((G83)&lt;18.3,2,2+(ROUNDDOWN(((G83-10.1)/8),0)))</f>
        <v>2</v>
      </c>
      <c r="G13" s="419"/>
      <c r="H13" s="153">
        <f t="shared" si="0"/>
        <v>0</v>
      </c>
      <c r="J13" s="53"/>
      <c r="K13" s="90"/>
      <c r="L13" s="58"/>
      <c r="M13" s="54"/>
      <c r="N13" s="58"/>
      <c r="O13" s="390"/>
      <c r="P13" s="58"/>
      <c r="Q13" s="58"/>
      <c r="R13" s="391"/>
      <c r="S13" s="391"/>
      <c r="T13" s="53"/>
      <c r="U13" s="49"/>
      <c r="V13" s="49"/>
      <c r="W13" s="55"/>
      <c r="X13" s="51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2.95" customHeight="1" x14ac:dyDescent="0.25">
      <c r="A14" s="39" t="s">
        <v>49</v>
      </c>
      <c r="B14" s="87">
        <f>B13+1</f>
        <v>6</v>
      </c>
      <c r="C14" s="435" t="s">
        <v>164</v>
      </c>
      <c r="D14" s="436"/>
      <c r="E14" s="165"/>
      <c r="F14" s="166"/>
      <c r="G14" s="392"/>
      <c r="H14" s="168"/>
      <c r="J14" s="53"/>
      <c r="K14" s="391"/>
      <c r="L14" s="391"/>
      <c r="M14" s="391"/>
      <c r="N14" s="391"/>
      <c r="O14" s="390"/>
      <c r="P14" s="58"/>
      <c r="Q14" s="58"/>
      <c r="R14" s="391"/>
      <c r="S14" s="391"/>
      <c r="T14" s="53"/>
      <c r="U14" s="49"/>
      <c r="V14" s="49"/>
      <c r="W14" s="389"/>
      <c r="X14" s="51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2.95" customHeight="1" x14ac:dyDescent="0.25">
      <c r="B15" s="164">
        <f>B14+0.1</f>
        <v>6.1</v>
      </c>
      <c r="C15" s="281" t="s">
        <v>185</v>
      </c>
      <c r="D15" s="282"/>
      <c r="E15" s="18" t="s">
        <v>27</v>
      </c>
      <c r="F15" s="172">
        <v>0.5</v>
      </c>
      <c r="G15" s="419"/>
      <c r="H15" s="153">
        <f>F15*G15</f>
        <v>0</v>
      </c>
      <c r="J15" s="53"/>
      <c r="K15" s="391"/>
      <c r="L15" s="391"/>
      <c r="M15" s="391"/>
      <c r="N15" s="391"/>
      <c r="O15" s="390"/>
      <c r="P15" s="58"/>
      <c r="Q15" s="58"/>
      <c r="R15" s="391"/>
      <c r="S15" s="391"/>
      <c r="T15" s="53"/>
      <c r="U15" s="49"/>
      <c r="V15" s="49"/>
      <c r="W15" s="389"/>
      <c r="X15" s="51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2.95" customHeight="1" x14ac:dyDescent="0.25">
      <c r="B16" s="87">
        <f>B14+1</f>
        <v>7</v>
      </c>
      <c r="C16" s="435" t="s">
        <v>167</v>
      </c>
      <c r="D16" s="436"/>
      <c r="E16" s="165"/>
      <c r="F16" s="166"/>
      <c r="G16" s="392"/>
      <c r="H16" s="168"/>
      <c r="J16" s="53"/>
      <c r="K16" s="391"/>
      <c r="L16" s="391"/>
      <c r="M16" s="391"/>
      <c r="N16" s="391"/>
      <c r="O16" s="390"/>
      <c r="P16" s="58"/>
      <c r="Q16" s="58"/>
      <c r="R16" s="391"/>
      <c r="S16" s="391"/>
      <c r="T16" s="53"/>
      <c r="U16" s="49"/>
      <c r="V16" s="49"/>
      <c r="W16" s="389"/>
      <c r="X16" s="51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12.95" customHeight="1" x14ac:dyDescent="0.25">
      <c r="A17" s="39" t="s">
        <v>50</v>
      </c>
      <c r="B17" s="164">
        <f>B16+0.1</f>
        <v>7.1</v>
      </c>
      <c r="C17" s="435" t="s">
        <v>165</v>
      </c>
      <c r="D17" s="436"/>
      <c r="E17" s="18" t="s">
        <v>6</v>
      </c>
      <c r="F17" s="95">
        <v>1</v>
      </c>
      <c r="G17" s="420"/>
      <c r="H17" s="153">
        <f>F17*G17</f>
        <v>0</v>
      </c>
      <c r="J17" s="53"/>
      <c r="K17" s="93"/>
      <c r="L17" s="391"/>
      <c r="M17" s="391"/>
      <c r="N17" s="391"/>
      <c r="O17" s="390"/>
      <c r="P17" s="58"/>
      <c r="Q17" s="58"/>
      <c r="R17" s="391"/>
      <c r="S17" s="391"/>
      <c r="T17" s="53"/>
      <c r="U17" s="49"/>
      <c r="V17" s="49"/>
      <c r="W17" s="389"/>
      <c r="X17" s="51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12.95" customHeight="1" x14ac:dyDescent="0.25">
      <c r="B18" s="164">
        <f>B17+0.1</f>
        <v>7.1999999999999993</v>
      </c>
      <c r="C18" s="435" t="s">
        <v>166</v>
      </c>
      <c r="D18" s="436"/>
      <c r="E18" s="18" t="s">
        <v>6</v>
      </c>
      <c r="F18" s="95">
        <v>1</v>
      </c>
      <c r="G18" s="420"/>
      <c r="H18" s="153">
        <f t="shared" ref="H18" si="2">F18*G18</f>
        <v>0</v>
      </c>
      <c r="J18" s="53"/>
      <c r="K18" s="391"/>
      <c r="L18" s="391"/>
      <c r="M18" s="391"/>
      <c r="N18" s="391"/>
      <c r="O18" s="390"/>
      <c r="P18" s="58"/>
      <c r="Q18" s="58"/>
      <c r="R18" s="391"/>
      <c r="S18" s="391"/>
      <c r="T18" s="53"/>
      <c r="U18" s="49"/>
      <c r="V18" s="49"/>
      <c r="W18" s="389"/>
      <c r="X18" s="51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12.95" customHeight="1" x14ac:dyDescent="0.25">
      <c r="B19" s="87">
        <f>B16+1</f>
        <v>8</v>
      </c>
      <c r="C19" s="435" t="s">
        <v>108</v>
      </c>
      <c r="D19" s="436"/>
      <c r="E19" s="18" t="s">
        <v>6</v>
      </c>
      <c r="F19" s="95">
        <v>1</v>
      </c>
      <c r="G19" s="420"/>
      <c r="H19" s="153">
        <f t="shared" si="0"/>
        <v>0</v>
      </c>
      <c r="J19" s="53"/>
      <c r="K19" s="391"/>
      <c r="L19" s="391"/>
      <c r="M19" s="391"/>
      <c r="N19" s="391"/>
      <c r="O19" s="390"/>
      <c r="P19" s="393"/>
      <c r="Q19" s="391"/>
      <c r="R19" s="391"/>
      <c r="S19" s="391"/>
      <c r="T19" s="53"/>
      <c r="U19" s="49"/>
      <c r="V19" s="49"/>
      <c r="W19" s="389"/>
      <c r="X19" s="51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12.95" customHeight="1" x14ac:dyDescent="0.25">
      <c r="A20" s="39" t="s">
        <v>51</v>
      </c>
      <c r="B20" s="87">
        <f t="shared" si="1"/>
        <v>9</v>
      </c>
      <c r="C20" s="452" t="s">
        <v>184</v>
      </c>
      <c r="D20" s="453"/>
      <c r="E20" s="18" t="s">
        <v>6</v>
      </c>
      <c r="F20" s="95">
        <v>1</v>
      </c>
      <c r="G20" s="420"/>
      <c r="H20" s="153">
        <f t="shared" si="0"/>
        <v>0</v>
      </c>
      <c r="J20" s="53"/>
      <c r="K20" s="391"/>
      <c r="L20" s="391"/>
      <c r="M20" s="394" t="s">
        <v>228</v>
      </c>
      <c r="N20" s="394"/>
      <c r="O20" s="395"/>
      <c r="P20" s="396"/>
      <c r="Q20" s="397"/>
      <c r="R20" s="397"/>
      <c r="S20" s="391"/>
      <c r="T20" s="53"/>
      <c r="U20" s="49"/>
      <c r="V20" s="49"/>
      <c r="W20" s="389"/>
      <c r="X20" s="51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12.95" customHeight="1" x14ac:dyDescent="0.25">
      <c r="A21" s="39" t="s">
        <v>51</v>
      </c>
      <c r="B21" s="87">
        <f t="shared" si="1"/>
        <v>10</v>
      </c>
      <c r="C21" s="452" t="s">
        <v>88</v>
      </c>
      <c r="D21" s="453"/>
      <c r="E21" s="18" t="s">
        <v>6</v>
      </c>
      <c r="F21" s="95">
        <v>1</v>
      </c>
      <c r="G21" s="420"/>
      <c r="H21" s="153">
        <f t="shared" si="0"/>
        <v>0</v>
      </c>
      <c r="J21" s="53"/>
      <c r="K21" s="391"/>
      <c r="L21" s="391"/>
      <c r="M21" s="394" t="s">
        <v>229</v>
      </c>
      <c r="N21" s="394"/>
      <c r="O21" s="398" t="s">
        <v>230</v>
      </c>
      <c r="P21" s="398" t="s">
        <v>231</v>
      </c>
      <c r="Q21" s="397"/>
      <c r="R21" s="397"/>
      <c r="S21" s="391"/>
      <c r="T21" s="53"/>
      <c r="U21" s="49"/>
      <c r="V21" s="49"/>
      <c r="W21" s="389"/>
      <c r="X21" s="51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12.95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10</v>
      </c>
      <c r="G22" s="420"/>
      <c r="H22" s="153">
        <f t="shared" si="0"/>
        <v>0</v>
      </c>
      <c r="K22" s="59"/>
      <c r="L22" s="58"/>
      <c r="M22" s="21" t="s">
        <v>232</v>
      </c>
      <c r="N22" s="21"/>
      <c r="O22" s="21" t="s">
        <v>233</v>
      </c>
      <c r="P22" s="21" t="s">
        <v>234</v>
      </c>
      <c r="Q22" s="399" t="s">
        <v>235</v>
      </c>
      <c r="R22" s="1"/>
      <c r="S22" s="400"/>
      <c r="T22" s="401"/>
      <c r="U22" s="400"/>
      <c r="V22" s="53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2.95" customHeight="1" x14ac:dyDescent="0.2">
      <c r="A23" s="39" t="s">
        <v>53</v>
      </c>
      <c r="B23" s="87">
        <f t="shared" si="1"/>
        <v>12</v>
      </c>
      <c r="C23" s="435" t="s">
        <v>32</v>
      </c>
      <c r="D23" s="436"/>
      <c r="E23" s="18" t="s">
        <v>6</v>
      </c>
      <c r="F23" s="57">
        <v>5</v>
      </c>
      <c r="G23" s="419"/>
      <c r="H23" s="153">
        <f t="shared" si="0"/>
        <v>0</v>
      </c>
      <c r="J23" s="45"/>
      <c r="L23" s="161"/>
      <c r="M23" s="21" t="s">
        <v>236</v>
      </c>
      <c r="N23" s="21"/>
      <c r="O23" s="21" t="s">
        <v>237</v>
      </c>
      <c r="P23" s="21" t="s">
        <v>238</v>
      </c>
      <c r="Q23" s="399" t="s">
        <v>235</v>
      </c>
      <c r="R23" s="402"/>
      <c r="S23" s="145"/>
      <c r="T23" s="145"/>
      <c r="U23" s="145"/>
      <c r="V23" s="145"/>
      <c r="W23" s="49"/>
      <c r="X23" s="4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2.95" customHeight="1" x14ac:dyDescent="0.2">
      <c r="A24" s="39" t="s">
        <v>67</v>
      </c>
      <c r="B24" s="87">
        <f t="shared" si="1"/>
        <v>13</v>
      </c>
      <c r="C24" s="450" t="s">
        <v>37</v>
      </c>
      <c r="D24" s="451"/>
      <c r="E24" s="78" t="s">
        <v>9</v>
      </c>
      <c r="F24" s="95">
        <f>IF(A89="NO",0,E88)</f>
        <v>84</v>
      </c>
      <c r="G24" s="421"/>
      <c r="H24" s="153">
        <f t="shared" si="0"/>
        <v>0</v>
      </c>
      <c r="J24" s="403"/>
      <c r="K24" s="90"/>
      <c r="L24" s="174"/>
      <c r="M24" s="21" t="s">
        <v>239</v>
      </c>
      <c r="N24" s="21"/>
      <c r="O24" s="21" t="s">
        <v>240</v>
      </c>
      <c r="P24" s="21" t="s">
        <v>241</v>
      </c>
      <c r="Q24" s="1"/>
      <c r="R24" s="2"/>
      <c r="S24" s="196"/>
      <c r="T24" s="196"/>
      <c r="U24" s="196"/>
      <c r="V24" s="196"/>
      <c r="W24" s="49"/>
      <c r="X24" s="4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2.95" customHeight="1" x14ac:dyDescent="0.2">
      <c r="B25" s="87">
        <f t="shared" si="1"/>
        <v>14</v>
      </c>
      <c r="C25" s="302" t="s">
        <v>223</v>
      </c>
      <c r="D25" s="303"/>
      <c r="E25" s="165"/>
      <c r="F25" s="165"/>
      <c r="G25" s="392"/>
      <c r="H25" s="171"/>
      <c r="J25" s="403"/>
      <c r="K25" s="90"/>
      <c r="L25" s="174"/>
      <c r="M25" s="21" t="s">
        <v>239</v>
      </c>
      <c r="N25" s="404"/>
      <c r="O25" s="21" t="s">
        <v>242</v>
      </c>
      <c r="P25" s="21" t="s">
        <v>243</v>
      </c>
      <c r="Q25" s="1"/>
      <c r="R25" s="2"/>
      <c r="S25" s="145"/>
      <c r="T25" s="145"/>
      <c r="U25" s="145"/>
      <c r="V25" s="145"/>
      <c r="W25" s="49"/>
      <c r="X25" s="4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2.95" customHeight="1" x14ac:dyDescent="0.2">
      <c r="A26" s="39" t="s">
        <v>54</v>
      </c>
      <c r="B26" s="87">
        <f t="shared" si="1"/>
        <v>15</v>
      </c>
      <c r="C26" s="435" t="s">
        <v>137</v>
      </c>
      <c r="D26" s="436"/>
      <c r="E26" s="18" t="s">
        <v>6</v>
      </c>
      <c r="F26" s="95">
        <v>1</v>
      </c>
      <c r="G26" s="419"/>
      <c r="H26" s="153">
        <f t="shared" si="0"/>
        <v>0</v>
      </c>
      <c r="J26" s="53"/>
      <c r="K26" s="90"/>
      <c r="L26" s="174"/>
      <c r="M26" s="14" t="s">
        <v>244</v>
      </c>
      <c r="N26" s="21"/>
      <c r="O26" s="21" t="s">
        <v>245</v>
      </c>
      <c r="P26" s="21" t="s">
        <v>246</v>
      </c>
      <c r="Q26" s="1"/>
      <c r="R26" s="402"/>
      <c r="S26" s="145"/>
      <c r="T26" s="145"/>
      <c r="U26" s="145"/>
      <c r="V26" s="145"/>
      <c r="W26" s="49"/>
      <c r="X26" s="4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2.95" customHeight="1" x14ac:dyDescent="0.2">
      <c r="B27" s="87">
        <f t="shared" si="1"/>
        <v>16</v>
      </c>
      <c r="C27" s="302" t="s">
        <v>223</v>
      </c>
      <c r="D27" s="303"/>
      <c r="E27" s="165"/>
      <c r="F27" s="165"/>
      <c r="G27" s="392"/>
      <c r="H27" s="171"/>
      <c r="J27" s="53"/>
      <c r="K27" s="90"/>
      <c r="L27" s="174"/>
      <c r="M27" s="14" t="s">
        <v>247</v>
      </c>
      <c r="N27" s="21"/>
      <c r="O27" s="21" t="s">
        <v>248</v>
      </c>
      <c r="P27" s="21" t="s">
        <v>249</v>
      </c>
      <c r="Q27" s="1"/>
      <c r="R27" s="402"/>
      <c r="S27" s="145"/>
      <c r="T27" s="145"/>
      <c r="U27" s="145"/>
      <c r="V27" s="145"/>
      <c r="W27" s="49"/>
      <c r="X27" s="4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12.95" customHeight="1" x14ac:dyDescent="0.2">
      <c r="A28" s="39" t="s">
        <v>55</v>
      </c>
      <c r="B28" s="87">
        <f t="shared" si="1"/>
        <v>17</v>
      </c>
      <c r="C28" s="435" t="s">
        <v>187</v>
      </c>
      <c r="D28" s="436"/>
      <c r="E28" s="18" t="s">
        <v>6</v>
      </c>
      <c r="F28" s="57">
        <v>3</v>
      </c>
      <c r="G28" s="419"/>
      <c r="H28" s="153">
        <f t="shared" si="0"/>
        <v>0</v>
      </c>
      <c r="J28" s="58"/>
      <c r="K28" s="90"/>
      <c r="L28" s="174"/>
      <c r="M28" s="161"/>
      <c r="N28" s="58"/>
      <c r="O28" s="405"/>
      <c r="Q28" s="59"/>
      <c r="R28" s="401"/>
      <c r="S28" s="145"/>
      <c r="T28" s="145"/>
      <c r="U28" s="145"/>
      <c r="V28" s="145"/>
      <c r="W28" s="49"/>
      <c r="X28" s="4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12.95" customHeight="1" x14ac:dyDescent="0.2">
      <c r="A29" s="39" t="s">
        <v>56</v>
      </c>
      <c r="B29" s="87">
        <f t="shared" si="1"/>
        <v>18</v>
      </c>
      <c r="C29" s="435" t="s">
        <v>186</v>
      </c>
      <c r="D29" s="436"/>
      <c r="E29" s="18" t="s">
        <v>6</v>
      </c>
      <c r="F29" s="57">
        <v>2</v>
      </c>
      <c r="G29" s="419"/>
      <c r="H29" s="153">
        <f t="shared" si="0"/>
        <v>0</v>
      </c>
      <c r="J29" s="45"/>
      <c r="K29" s="90"/>
      <c r="L29" s="174"/>
      <c r="M29" s="161"/>
      <c r="N29" s="58"/>
      <c r="O29" s="405"/>
      <c r="Q29" s="59"/>
      <c r="R29" s="401"/>
      <c r="S29" s="145"/>
      <c r="T29" s="145"/>
      <c r="U29" s="145"/>
      <c r="V29" s="145"/>
      <c r="W29" s="49"/>
      <c r="X29" s="4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2.95" customHeight="1" x14ac:dyDescent="0.2">
      <c r="A30" s="39" t="s">
        <v>121</v>
      </c>
      <c r="B30" s="87">
        <f t="shared" si="1"/>
        <v>19</v>
      </c>
      <c r="C30" s="435" t="s">
        <v>176</v>
      </c>
      <c r="D30" s="458"/>
      <c r="E30" s="18" t="s">
        <v>6</v>
      </c>
      <c r="F30" s="95">
        <v>1</v>
      </c>
      <c r="G30" s="419"/>
      <c r="H30" s="153">
        <f>F30*G30</f>
        <v>0</v>
      </c>
      <c r="L30" s="174"/>
      <c r="M30" s="161"/>
      <c r="N30" s="58"/>
      <c r="O30" s="405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2.95" customHeight="1" x14ac:dyDescent="0.2">
      <c r="A31" s="39" t="s">
        <v>57</v>
      </c>
      <c r="B31" s="87">
        <f t="shared" si="1"/>
        <v>20</v>
      </c>
      <c r="C31" s="302" t="s">
        <v>223</v>
      </c>
      <c r="D31" s="303"/>
      <c r="E31" s="165"/>
      <c r="F31" s="165"/>
      <c r="G31" s="392"/>
      <c r="H31" s="171"/>
      <c r="J31" s="45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2.95" customHeight="1" x14ac:dyDescent="0.25">
      <c r="A32" s="39" t="s">
        <v>63</v>
      </c>
      <c r="B32" s="87">
        <f t="shared" si="1"/>
        <v>21</v>
      </c>
      <c r="C32" s="435" t="s">
        <v>188</v>
      </c>
      <c r="D32" s="436"/>
      <c r="E32" s="18" t="s">
        <v>5</v>
      </c>
      <c r="F32" s="57">
        <v>10</v>
      </c>
      <c r="G32" s="419"/>
      <c r="H32" s="153">
        <f>F32*G32</f>
        <v>0</v>
      </c>
      <c r="J32" s="159"/>
      <c r="K32" s="59"/>
      <c r="L32" s="58"/>
      <c r="M32" s="58"/>
      <c r="N32" s="405"/>
      <c r="Q32" s="197"/>
      <c r="R32" s="198"/>
      <c r="S32" s="400"/>
      <c r="T32" s="401"/>
      <c r="U32" s="400"/>
      <c r="V32" s="53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12.95" customHeight="1" x14ac:dyDescent="0.2">
      <c r="A33" s="39" t="s">
        <v>58</v>
      </c>
      <c r="B33" s="87">
        <f>B32+1</f>
        <v>22</v>
      </c>
      <c r="C33" s="470" t="s">
        <v>189</v>
      </c>
      <c r="D33" s="471"/>
      <c r="E33" s="165"/>
      <c r="F33" s="166"/>
      <c r="G33" s="392"/>
      <c r="H33" s="168"/>
      <c r="J33" s="403"/>
      <c r="K33" s="90"/>
      <c r="L33" s="58"/>
      <c r="M33" s="406" t="s">
        <v>250</v>
      </c>
      <c r="N33" s="2" t="s">
        <v>251</v>
      </c>
      <c r="O33" s="405"/>
      <c r="Q33" s="59"/>
      <c r="R33" s="145"/>
      <c r="S33" s="196"/>
      <c r="T33" s="196"/>
      <c r="U33" s="196"/>
      <c r="V33" s="196"/>
      <c r="W33" s="53"/>
      <c r="X33" s="53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12.95" customHeight="1" x14ac:dyDescent="0.2">
      <c r="B34" s="164">
        <f>B33+0.1</f>
        <v>22.1</v>
      </c>
      <c r="C34" s="302" t="s">
        <v>223</v>
      </c>
      <c r="D34" s="304"/>
      <c r="E34" s="165"/>
      <c r="F34" s="305"/>
      <c r="G34" s="392"/>
      <c r="H34" s="168"/>
      <c r="J34" s="403"/>
      <c r="K34" s="90"/>
      <c r="L34" s="58"/>
      <c r="M34" s="407">
        <v>0</v>
      </c>
      <c r="N34" s="407">
        <v>2</v>
      </c>
      <c r="O34" s="405"/>
      <c r="Q34" s="59"/>
      <c r="R34" s="145"/>
      <c r="S34" s="145"/>
      <c r="T34" s="145"/>
      <c r="U34" s="145"/>
      <c r="V34" s="145"/>
      <c r="W34" s="145"/>
      <c r="X34" s="145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12.95" customHeight="1" x14ac:dyDescent="0.2">
      <c r="B35" s="164">
        <f t="shared" ref="B35:B38" si="3">B34+0.1</f>
        <v>22.200000000000003</v>
      </c>
      <c r="C35" s="408" t="s">
        <v>190</v>
      </c>
      <c r="D35" s="409"/>
      <c r="E35" s="18" t="s">
        <v>6</v>
      </c>
      <c r="F35" s="57">
        <v>1</v>
      </c>
      <c r="G35" s="419"/>
      <c r="H35" s="153">
        <f t="shared" ref="H35:H38" si="4">F35*G35</f>
        <v>0</v>
      </c>
      <c r="J35" s="53"/>
      <c r="K35" s="90"/>
      <c r="L35" s="58"/>
      <c r="M35" s="407">
        <v>1</v>
      </c>
      <c r="N35" s="407">
        <v>0</v>
      </c>
      <c r="O35" s="405"/>
      <c r="Q35" s="59"/>
      <c r="R35" s="401"/>
      <c r="S35" s="145"/>
      <c r="T35" s="145"/>
      <c r="U35" s="145"/>
      <c r="V35" s="145"/>
      <c r="W35" s="145"/>
      <c r="X35" s="145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12.95" customHeight="1" x14ac:dyDescent="0.2">
      <c r="B36" s="164">
        <f t="shared" si="3"/>
        <v>22.300000000000004</v>
      </c>
      <c r="C36" s="408" t="s">
        <v>191</v>
      </c>
      <c r="D36" s="409"/>
      <c r="E36" s="18" t="s">
        <v>6</v>
      </c>
      <c r="F36" s="57">
        <v>3</v>
      </c>
      <c r="G36" s="419"/>
      <c r="H36" s="153">
        <f t="shared" si="4"/>
        <v>0</v>
      </c>
      <c r="J36" s="53"/>
      <c r="K36" s="90"/>
      <c r="L36" s="58"/>
      <c r="M36" s="407">
        <v>2</v>
      </c>
      <c r="N36" s="407">
        <v>1</v>
      </c>
      <c r="O36" s="405"/>
      <c r="Q36" s="59"/>
      <c r="R36" s="401"/>
      <c r="S36" s="145"/>
      <c r="T36" s="145"/>
      <c r="U36" s="145"/>
      <c r="V36" s="145"/>
      <c r="W36" s="145"/>
      <c r="X36" s="145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12.95" customHeight="1" x14ac:dyDescent="0.2">
      <c r="B37" s="164">
        <f t="shared" si="3"/>
        <v>22.400000000000006</v>
      </c>
      <c r="C37" s="302" t="s">
        <v>223</v>
      </c>
      <c r="D37" s="303"/>
      <c r="E37" s="165"/>
      <c r="F37" s="165"/>
      <c r="G37" s="392"/>
      <c r="H37" s="171"/>
      <c r="J37" s="58"/>
      <c r="K37" s="90"/>
      <c r="L37" s="58"/>
      <c r="M37" s="407">
        <v>0</v>
      </c>
      <c r="N37" s="407">
        <v>1</v>
      </c>
      <c r="O37" s="405"/>
      <c r="Q37" s="59"/>
      <c r="R37" s="401"/>
      <c r="S37" s="145"/>
      <c r="T37" s="145"/>
      <c r="U37" s="145"/>
      <c r="V37" s="145"/>
      <c r="W37" s="145"/>
      <c r="X37" s="145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12.95" customHeight="1" x14ac:dyDescent="0.2">
      <c r="B38" s="164">
        <f t="shared" si="3"/>
        <v>22.500000000000007</v>
      </c>
      <c r="C38" s="408" t="s">
        <v>192</v>
      </c>
      <c r="D38" s="409"/>
      <c r="E38" s="18" t="s">
        <v>6</v>
      </c>
      <c r="F38" s="57">
        <v>2</v>
      </c>
      <c r="G38" s="419"/>
      <c r="H38" s="153">
        <f t="shared" si="4"/>
        <v>0</v>
      </c>
      <c r="J38" s="58"/>
      <c r="K38" s="90"/>
      <c r="L38" s="58"/>
      <c r="M38" s="407"/>
      <c r="N38" s="407"/>
      <c r="O38" s="405"/>
      <c r="Q38" s="59"/>
      <c r="R38" s="401"/>
      <c r="S38" s="145"/>
      <c r="T38" s="145"/>
      <c r="U38" s="145"/>
      <c r="V38" s="145"/>
      <c r="W38" s="145"/>
      <c r="X38" s="145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12.95" customHeight="1" x14ac:dyDescent="0.2">
      <c r="A39" s="39" t="s">
        <v>59</v>
      </c>
      <c r="B39" s="87">
        <f>B33+1</f>
        <v>23</v>
      </c>
      <c r="C39" s="302" t="s">
        <v>223</v>
      </c>
      <c r="D39" s="303"/>
      <c r="E39" s="165"/>
      <c r="F39" s="165"/>
      <c r="G39" s="392"/>
      <c r="H39" s="171"/>
      <c r="J39" s="45"/>
      <c r="N39" s="58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12.95" customHeight="1" x14ac:dyDescent="0.2">
      <c r="A40" s="39" t="s">
        <v>60</v>
      </c>
      <c r="B40" s="87">
        <f t="shared" si="1"/>
        <v>24</v>
      </c>
      <c r="C40" s="435" t="s">
        <v>199</v>
      </c>
      <c r="D40" s="436"/>
      <c r="E40" s="18" t="s">
        <v>6</v>
      </c>
      <c r="F40" s="95">
        <v>1</v>
      </c>
      <c r="G40" s="419"/>
      <c r="H40" s="153">
        <f t="shared" si="0"/>
        <v>0</v>
      </c>
      <c r="J40" s="45"/>
      <c r="N40" s="58"/>
      <c r="Z40" s="59"/>
      <c r="AA40" s="59"/>
      <c r="AB40" s="59"/>
      <c r="AC40" s="59"/>
      <c r="AD40" s="59"/>
      <c r="AE40" s="59"/>
      <c r="AF40" s="59"/>
      <c r="AG40" s="59"/>
    </row>
    <row r="41" spans="1:33" ht="12.95" customHeight="1" x14ac:dyDescent="0.2">
      <c r="A41" s="39" t="s">
        <v>61</v>
      </c>
      <c r="B41" s="87">
        <f t="shared" si="1"/>
        <v>25</v>
      </c>
      <c r="C41" s="435" t="s">
        <v>193</v>
      </c>
      <c r="D41" s="436"/>
      <c r="E41" s="18" t="s">
        <v>6</v>
      </c>
      <c r="F41" s="95">
        <v>3</v>
      </c>
      <c r="G41" s="419"/>
      <c r="H41" s="153">
        <f t="shared" si="0"/>
        <v>0</v>
      </c>
      <c r="J41" s="159"/>
      <c r="K41" s="59"/>
      <c r="L41" s="58"/>
      <c r="M41" s="58"/>
      <c r="N41" s="405"/>
      <c r="Z41" s="59"/>
      <c r="AA41" s="59"/>
      <c r="AB41" s="59"/>
      <c r="AC41" s="59"/>
      <c r="AD41" s="59"/>
      <c r="AE41" s="59"/>
      <c r="AF41" s="59"/>
      <c r="AG41" s="59"/>
    </row>
    <row r="42" spans="1:33" ht="12.95" customHeight="1" x14ac:dyDescent="0.2">
      <c r="B42" s="87">
        <f t="shared" si="1"/>
        <v>26</v>
      </c>
      <c r="C42" s="302" t="s">
        <v>223</v>
      </c>
      <c r="D42" s="303"/>
      <c r="E42" s="165"/>
      <c r="F42" s="165"/>
      <c r="G42" s="392"/>
      <c r="H42" s="171"/>
      <c r="J42" s="45"/>
      <c r="L42" s="45"/>
      <c r="M42" s="161"/>
      <c r="N42" s="58"/>
      <c r="O42" s="405"/>
      <c r="Z42" s="59"/>
      <c r="AA42" s="59"/>
      <c r="AB42" s="59"/>
      <c r="AC42" s="59"/>
      <c r="AD42" s="59"/>
      <c r="AE42" s="59"/>
      <c r="AF42" s="59"/>
      <c r="AG42" s="59"/>
    </row>
    <row r="43" spans="1:33" x14ac:dyDescent="0.2">
      <c r="B43" s="87">
        <f>B42+1</f>
        <v>27</v>
      </c>
      <c r="C43" s="435" t="s">
        <v>194</v>
      </c>
      <c r="D43" s="436"/>
      <c r="E43" s="25" t="s">
        <v>6</v>
      </c>
      <c r="F43" s="95">
        <v>1</v>
      </c>
      <c r="G43" s="419"/>
      <c r="H43" s="153">
        <f t="shared" si="0"/>
        <v>0</v>
      </c>
      <c r="J43" s="403"/>
      <c r="K43" s="90"/>
      <c r="L43" s="58"/>
      <c r="M43" s="161"/>
      <c r="N43" s="58"/>
      <c r="O43" s="405"/>
    </row>
    <row r="44" spans="1:33" x14ac:dyDescent="0.2">
      <c r="A44" s="39" t="s">
        <v>64</v>
      </c>
      <c r="B44" s="87">
        <f t="shared" si="1"/>
        <v>28</v>
      </c>
      <c r="C44" s="435" t="s">
        <v>122</v>
      </c>
      <c r="D44" s="436"/>
      <c r="E44" s="18" t="s">
        <v>6</v>
      </c>
      <c r="F44" s="95">
        <v>2</v>
      </c>
      <c r="G44" s="419"/>
      <c r="H44" s="153">
        <f t="shared" si="0"/>
        <v>0</v>
      </c>
      <c r="J44" s="403"/>
      <c r="K44" s="90"/>
      <c r="L44" s="58"/>
      <c r="M44" s="161"/>
      <c r="N44" s="58"/>
      <c r="O44" s="405"/>
    </row>
    <row r="45" spans="1:33" x14ac:dyDescent="0.2">
      <c r="A45" s="39" t="s">
        <v>65</v>
      </c>
      <c r="B45" s="87">
        <f t="shared" si="1"/>
        <v>29</v>
      </c>
      <c r="C45" s="435" t="s">
        <v>11</v>
      </c>
      <c r="D45" s="436"/>
      <c r="E45" s="18" t="s">
        <v>35</v>
      </c>
      <c r="F45" s="95">
        <v>1</v>
      </c>
      <c r="G45" s="419"/>
      <c r="H45" s="153">
        <f t="shared" si="0"/>
        <v>0</v>
      </c>
      <c r="J45" s="53"/>
      <c r="K45" s="90"/>
      <c r="L45" s="58"/>
      <c r="M45" s="161"/>
      <c r="N45" s="58"/>
      <c r="O45" s="405"/>
    </row>
    <row r="46" spans="1:33" x14ac:dyDescent="0.2">
      <c r="A46" s="39" t="s">
        <v>66</v>
      </c>
      <c r="B46" s="87">
        <f t="shared" si="1"/>
        <v>30</v>
      </c>
      <c r="C46" s="435" t="s">
        <v>269</v>
      </c>
      <c r="D46" s="436"/>
      <c r="E46" s="18" t="s">
        <v>5</v>
      </c>
      <c r="F46" s="95">
        <v>10</v>
      </c>
      <c r="G46" s="419"/>
      <c r="H46" s="153">
        <f t="shared" ref="H46" si="5">F46*G46</f>
        <v>0</v>
      </c>
      <c r="J46" s="53"/>
      <c r="K46" s="90"/>
      <c r="L46" s="58"/>
      <c r="M46" s="161"/>
      <c r="N46" s="58"/>
      <c r="O46" s="405"/>
    </row>
    <row r="47" spans="1:33" ht="12.95" customHeight="1" x14ac:dyDescent="0.2">
      <c r="B47" s="87">
        <f>B46+1</f>
        <v>31</v>
      </c>
      <c r="C47" s="464" t="s">
        <v>224</v>
      </c>
      <c r="D47" s="465"/>
      <c r="E47" s="18" t="s">
        <v>6</v>
      </c>
      <c r="F47" s="57">
        <v>1</v>
      </c>
      <c r="G47" s="419"/>
      <c r="H47" s="153">
        <f t="shared" si="0"/>
        <v>0</v>
      </c>
      <c r="J47" s="45"/>
      <c r="N47" s="58"/>
      <c r="Z47" s="59"/>
      <c r="AA47" s="59"/>
      <c r="AB47" s="59"/>
      <c r="AC47" s="59"/>
      <c r="AD47" s="59"/>
      <c r="AE47" s="59"/>
      <c r="AF47" s="59"/>
      <c r="AG47" s="59"/>
    </row>
    <row r="48" spans="1:33" ht="12.95" customHeight="1" x14ac:dyDescent="0.2">
      <c r="B48" s="87">
        <f t="shared" si="1"/>
        <v>32</v>
      </c>
      <c r="C48" s="410" t="s">
        <v>225</v>
      </c>
      <c r="D48" s="411"/>
      <c r="E48" s="18" t="s">
        <v>6</v>
      </c>
      <c r="F48" s="57">
        <v>1</v>
      </c>
      <c r="G48" s="419"/>
      <c r="H48" s="153">
        <f t="shared" si="0"/>
        <v>0</v>
      </c>
      <c r="J48" s="45"/>
      <c r="N48" s="58"/>
      <c r="Z48" s="59"/>
      <c r="AA48" s="59"/>
      <c r="AB48" s="59"/>
      <c r="AC48" s="59"/>
      <c r="AD48" s="59"/>
      <c r="AE48" s="59"/>
      <c r="AF48" s="59"/>
      <c r="AG48" s="59"/>
    </row>
    <row r="49" spans="1:33" ht="12.95" customHeight="1" x14ac:dyDescent="0.2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53">
        <f t="shared" si="0"/>
        <v>0</v>
      </c>
      <c r="Q49" s="72"/>
      <c r="R49" s="63"/>
      <c r="S49" s="58"/>
      <c r="T49" s="59"/>
      <c r="U49" s="58"/>
      <c r="V49" s="72"/>
      <c r="W49" s="63"/>
      <c r="X49" s="63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12.95" customHeight="1" x14ac:dyDescent="0.2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53">
        <f t="shared" si="0"/>
        <v>0</v>
      </c>
      <c r="Q50" s="72"/>
      <c r="R50" s="63"/>
      <c r="S50" s="58"/>
      <c r="T50" s="59"/>
      <c r="U50" s="58"/>
      <c r="V50" s="72"/>
      <c r="W50" s="63"/>
      <c r="X50" s="63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12.95" customHeight="1" x14ac:dyDescent="0.2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53">
        <f t="shared" si="0"/>
        <v>0</v>
      </c>
      <c r="N51" s="58"/>
      <c r="O51" s="59"/>
      <c r="P51" s="58"/>
      <c r="Q51" s="72"/>
      <c r="R51" s="63"/>
      <c r="S51" s="58"/>
      <c r="T51" s="59"/>
      <c r="U51" s="58"/>
      <c r="V51" s="72"/>
      <c r="W51" s="63"/>
      <c r="X51" s="63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12.95" customHeight="1" x14ac:dyDescent="0.2">
      <c r="B52" s="164">
        <f>B51+0.1</f>
        <v>35.1</v>
      </c>
      <c r="C52" s="289" t="s">
        <v>195</v>
      </c>
      <c r="D52" s="290"/>
      <c r="E52" s="21" t="s">
        <v>6</v>
      </c>
      <c r="F52" s="21">
        <v>1</v>
      </c>
      <c r="G52" s="422"/>
      <c r="H52" s="412">
        <f t="shared" si="0"/>
        <v>0</v>
      </c>
      <c r="J52" s="58"/>
      <c r="K52" s="199"/>
      <c r="L52" s="199"/>
      <c r="M52" s="198"/>
      <c r="N52" s="200"/>
      <c r="O52" s="59"/>
      <c r="P52" s="58"/>
      <c r="Q52" s="72"/>
      <c r="R52" s="63"/>
      <c r="S52" s="58"/>
      <c r="T52" s="59"/>
      <c r="U52" s="58"/>
      <c r="V52" s="72"/>
      <c r="W52" s="63"/>
      <c r="X52" s="63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12.95" customHeight="1" x14ac:dyDescent="0.2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53">
        <f t="shared" si="0"/>
        <v>0</v>
      </c>
      <c r="J53" s="58"/>
      <c r="K53" s="199"/>
      <c r="L53" s="199"/>
      <c r="M53" s="198"/>
      <c r="N53" s="200"/>
      <c r="O53" s="59"/>
      <c r="P53" s="58"/>
      <c r="Q53" s="72"/>
      <c r="R53" s="63"/>
      <c r="S53" s="58"/>
      <c r="T53" s="59"/>
      <c r="U53" s="58"/>
      <c r="V53" s="72"/>
      <c r="W53" s="63"/>
      <c r="X53" s="63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12.95" customHeight="1" x14ac:dyDescent="0.2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53">
        <f t="shared" si="0"/>
        <v>0</v>
      </c>
      <c r="J54" s="58"/>
      <c r="K54" s="199"/>
      <c r="L54" s="199"/>
      <c r="M54" s="198"/>
      <c r="N54" s="200"/>
      <c r="O54" s="59"/>
      <c r="P54" s="58"/>
      <c r="Q54" s="72"/>
      <c r="R54" s="63"/>
      <c r="S54" s="58"/>
      <c r="T54" s="59"/>
      <c r="U54" s="58"/>
      <c r="V54" s="72"/>
      <c r="W54" s="63"/>
      <c r="X54" s="63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2.95" customHeight="1" x14ac:dyDescent="0.2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53">
        <f t="shared" si="0"/>
        <v>0</v>
      </c>
      <c r="N55" s="58"/>
      <c r="O55" s="59"/>
      <c r="P55" s="58"/>
      <c r="Q55" s="72"/>
      <c r="R55" s="63"/>
      <c r="S55" s="58"/>
      <c r="T55" s="59"/>
      <c r="U55" s="58"/>
      <c r="V55" s="72"/>
      <c r="W55" s="63"/>
      <c r="X55" s="63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12.95" customHeight="1" x14ac:dyDescent="0.2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53">
        <f t="shared" si="0"/>
        <v>0</v>
      </c>
      <c r="N56" s="58"/>
      <c r="O56" s="59"/>
      <c r="P56" s="58"/>
      <c r="Q56" s="72"/>
      <c r="R56" s="63"/>
      <c r="S56" s="58"/>
      <c r="T56" s="59"/>
      <c r="U56" s="58"/>
      <c r="V56" s="72"/>
      <c r="W56" s="63"/>
      <c r="X56" s="63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2.95" customHeight="1" x14ac:dyDescent="0.2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53">
        <f t="shared" si="0"/>
        <v>0</v>
      </c>
      <c r="N57" s="58"/>
      <c r="O57" s="59"/>
      <c r="P57" s="58"/>
      <c r="Q57" s="72"/>
      <c r="R57" s="63"/>
      <c r="S57" s="58"/>
      <c r="T57" s="59"/>
      <c r="U57" s="58"/>
      <c r="V57" s="72"/>
      <c r="W57" s="63"/>
      <c r="X57" s="63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2.95" customHeight="1" x14ac:dyDescent="0.2">
      <c r="B58" s="87">
        <f t="shared" si="1"/>
        <v>41</v>
      </c>
      <c r="C58" s="289" t="s">
        <v>260</v>
      </c>
      <c r="D58" s="290"/>
      <c r="E58" s="194" t="s">
        <v>35</v>
      </c>
      <c r="F58" s="21">
        <v>1</v>
      </c>
      <c r="G58" s="422"/>
      <c r="H58" s="412">
        <f t="shared" si="0"/>
        <v>0</v>
      </c>
      <c r="N58" s="58"/>
      <c r="O58" s="59"/>
      <c r="P58" s="58"/>
      <c r="Q58" s="72"/>
      <c r="R58" s="63"/>
      <c r="S58" s="58"/>
      <c r="T58" s="59"/>
      <c r="U58" s="58"/>
      <c r="V58" s="72"/>
      <c r="W58" s="63"/>
      <c r="X58" s="63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2.95" customHeight="1" x14ac:dyDescent="0.2">
      <c r="B59" s="87">
        <f t="shared" si="1"/>
        <v>42</v>
      </c>
      <c r="C59" s="287" t="s">
        <v>119</v>
      </c>
      <c r="D59" s="288"/>
      <c r="E59" s="99" t="s">
        <v>35</v>
      </c>
      <c r="F59" s="95">
        <v>1</v>
      </c>
      <c r="G59" s="421"/>
      <c r="H59" s="153">
        <f t="shared" si="0"/>
        <v>0</v>
      </c>
      <c r="N59" s="58"/>
      <c r="O59" s="59"/>
      <c r="P59" s="58"/>
      <c r="Q59" s="72"/>
      <c r="R59" s="63"/>
      <c r="S59" s="58"/>
      <c r="T59" s="59"/>
      <c r="U59" s="58"/>
      <c r="V59" s="72"/>
      <c r="W59" s="63"/>
      <c r="X59" s="63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2.95" customHeight="1" x14ac:dyDescent="0.2">
      <c r="B60" s="87">
        <f t="shared" si="1"/>
        <v>43</v>
      </c>
      <c r="C60" s="281" t="s">
        <v>100</v>
      </c>
      <c r="D60" s="282"/>
      <c r="E60" s="25" t="s">
        <v>73</v>
      </c>
      <c r="F60" s="95">
        <v>66</v>
      </c>
      <c r="G60" s="419"/>
      <c r="H60" s="153">
        <f t="shared" si="0"/>
        <v>0</v>
      </c>
      <c r="N60" s="58"/>
      <c r="O60" s="59"/>
      <c r="P60" s="58"/>
      <c r="Q60" s="72"/>
      <c r="R60" s="63"/>
      <c r="S60" s="58"/>
      <c r="T60" s="59"/>
      <c r="U60" s="58"/>
      <c r="V60" s="72"/>
      <c r="W60" s="63"/>
      <c r="X60" s="63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2.95" customHeight="1" x14ac:dyDescent="0.2">
      <c r="A61" s="39" t="s">
        <v>89</v>
      </c>
      <c r="B61" s="87">
        <f>B60+1</f>
        <v>44</v>
      </c>
      <c r="C61" s="281" t="s">
        <v>268</v>
      </c>
      <c r="D61" s="282"/>
      <c r="E61" s="25" t="s">
        <v>9</v>
      </c>
      <c r="F61" s="95">
        <f>ROUNDUP(F24/2,0)</f>
        <v>42</v>
      </c>
      <c r="G61" s="419"/>
      <c r="H61" s="153">
        <f>F61*G61</f>
        <v>0</v>
      </c>
      <c r="N61" s="58"/>
      <c r="O61" s="59"/>
      <c r="P61" s="58"/>
      <c r="Q61" s="72"/>
      <c r="R61" s="63"/>
      <c r="S61" s="58"/>
      <c r="T61" s="59"/>
      <c r="U61" s="58"/>
      <c r="V61" s="72"/>
      <c r="W61" s="63"/>
      <c r="X61" s="63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2.95" customHeight="1" x14ac:dyDescent="0.2">
      <c r="A62" s="39" t="s">
        <v>90</v>
      </c>
      <c r="B62" s="87">
        <f>B61+1</f>
        <v>45</v>
      </c>
      <c r="C62" s="302" t="s">
        <v>223</v>
      </c>
      <c r="D62" s="303"/>
      <c r="E62" s="165"/>
      <c r="F62" s="165"/>
      <c r="G62" s="392"/>
      <c r="H62" s="171"/>
      <c r="N62" s="58"/>
      <c r="O62" s="59"/>
      <c r="P62" s="58"/>
      <c r="Q62" s="72"/>
      <c r="R62" s="63"/>
      <c r="S62" s="58"/>
      <c r="T62" s="59"/>
      <c r="U62" s="58"/>
      <c r="V62" s="72"/>
      <c r="W62" s="63"/>
      <c r="X62" s="63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2.95" customHeight="1" x14ac:dyDescent="0.2">
      <c r="B63" s="87">
        <f t="shared" si="1"/>
        <v>46</v>
      </c>
      <c r="C63" s="150" t="s">
        <v>125</v>
      </c>
      <c r="D63" s="152"/>
      <c r="E63" s="78" t="s">
        <v>73</v>
      </c>
      <c r="F63" s="95">
        <v>100</v>
      </c>
      <c r="G63" s="423"/>
      <c r="H63" s="173">
        <f t="shared" ref="H63" si="6">F63*G63</f>
        <v>0</v>
      </c>
      <c r="N63" s="58"/>
      <c r="O63" s="59"/>
      <c r="P63" s="58"/>
      <c r="Q63" s="413"/>
      <c r="R63" s="63"/>
      <c r="S63" s="58"/>
      <c r="T63" s="59"/>
      <c r="U63" s="58"/>
      <c r="V63" s="72"/>
      <c r="W63" s="63"/>
      <c r="X63" s="63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2.95" customHeight="1" x14ac:dyDescent="0.2">
      <c r="A64" s="39" t="s">
        <v>156</v>
      </c>
      <c r="B64" s="87">
        <f>B63+1</f>
        <v>47</v>
      </c>
      <c r="C64" s="302" t="s">
        <v>223</v>
      </c>
      <c r="D64" s="303"/>
      <c r="E64" s="165"/>
      <c r="F64" s="165"/>
      <c r="G64" s="392"/>
      <c r="H64" s="171"/>
      <c r="N64" s="58"/>
      <c r="O64" s="59"/>
      <c r="P64" s="58"/>
      <c r="Q64" s="413"/>
      <c r="R64" s="63"/>
      <c r="S64" s="58"/>
      <c r="T64" s="59"/>
      <c r="U64" s="58"/>
      <c r="V64" s="62"/>
      <c r="W64" s="63"/>
      <c r="X64" s="63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33" ht="12.95" customHeight="1" x14ac:dyDescent="0.2">
      <c r="B65" s="87">
        <f>B64+1</f>
        <v>48</v>
      </c>
      <c r="C65" s="302" t="s">
        <v>223</v>
      </c>
      <c r="D65" s="303"/>
      <c r="E65" s="165"/>
      <c r="F65" s="165"/>
      <c r="G65" s="392"/>
      <c r="H65" s="171"/>
      <c r="K65" s="414"/>
      <c r="L65" s="414"/>
      <c r="M65" s="414"/>
      <c r="N65" s="414"/>
      <c r="O65" s="414"/>
      <c r="P65" s="413"/>
      <c r="Q65" s="46"/>
      <c r="R65" s="42"/>
      <c r="S65" s="58"/>
      <c r="T65" s="59"/>
      <c r="U65" s="58"/>
      <c r="V65" s="62"/>
      <c r="W65" s="63"/>
      <c r="X65" s="63"/>
      <c r="Y65" s="59"/>
      <c r="Z65" s="59"/>
      <c r="AA65" s="59"/>
      <c r="AB65" s="59"/>
      <c r="AC65" s="59"/>
      <c r="AD65" s="59"/>
      <c r="AE65" s="59"/>
      <c r="AF65" s="59"/>
      <c r="AG65" s="59"/>
    </row>
    <row r="66" spans="1:33" x14ac:dyDescent="0.2">
      <c r="B66" s="87">
        <f t="shared" ref="B66:B69" si="7">B65+1</f>
        <v>49</v>
      </c>
      <c r="C66" s="192" t="s">
        <v>196</v>
      </c>
      <c r="D66" s="193"/>
      <c r="E66" s="194" t="s">
        <v>155</v>
      </c>
      <c r="F66" s="301">
        <v>25</v>
      </c>
      <c r="G66" s="423"/>
      <c r="H66" s="135">
        <f t="shared" ref="H66:H67" si="8">F66*G66</f>
        <v>0</v>
      </c>
    </row>
    <row r="67" spans="1:33" x14ac:dyDescent="0.2">
      <c r="B67" s="87">
        <f t="shared" si="7"/>
        <v>50</v>
      </c>
      <c r="C67" s="192" t="s">
        <v>270</v>
      </c>
      <c r="D67" s="193"/>
      <c r="E67" s="194" t="s">
        <v>35</v>
      </c>
      <c r="F67" s="301">
        <v>1</v>
      </c>
      <c r="G67" s="423"/>
      <c r="H67" s="135">
        <f t="shared" si="8"/>
        <v>0</v>
      </c>
    </row>
    <row r="68" spans="1:33" x14ac:dyDescent="0.2">
      <c r="B68" s="87">
        <f t="shared" si="7"/>
        <v>51</v>
      </c>
      <c r="C68" s="302" t="s">
        <v>223</v>
      </c>
      <c r="D68" s="303"/>
      <c r="E68" s="165"/>
      <c r="F68" s="165"/>
      <c r="G68" s="392"/>
      <c r="H68" s="171"/>
    </row>
    <row r="69" spans="1:33" x14ac:dyDescent="0.2">
      <c r="B69" s="87">
        <f t="shared" si="7"/>
        <v>52</v>
      </c>
      <c r="C69" s="302" t="s">
        <v>223</v>
      </c>
      <c r="D69" s="303"/>
      <c r="E69" s="165"/>
      <c r="F69" s="165"/>
      <c r="G69" s="392"/>
      <c r="H69" s="171"/>
    </row>
    <row r="70" spans="1:33" x14ac:dyDescent="0.2">
      <c r="B70" s="87" t="s">
        <v>261</v>
      </c>
      <c r="C70" s="306" t="s">
        <v>223</v>
      </c>
      <c r="D70" s="307"/>
      <c r="E70" s="308"/>
      <c r="F70" s="309"/>
      <c r="G70" s="310"/>
      <c r="H70" s="171"/>
    </row>
    <row r="71" spans="1:33" ht="13.5" thickBot="1" x14ac:dyDescent="0.25">
      <c r="B71" s="87"/>
      <c r="C71" s="128"/>
      <c r="D71" s="129"/>
      <c r="E71" s="25"/>
      <c r="F71" s="301"/>
      <c r="G71" s="415"/>
      <c r="H71" s="153"/>
    </row>
    <row r="72" spans="1:33" ht="13.5" thickBot="1" x14ac:dyDescent="0.25">
      <c r="B72" s="100"/>
      <c r="C72" s="466" t="s">
        <v>133</v>
      </c>
      <c r="D72" s="467"/>
      <c r="E72" s="101"/>
      <c r="F72" s="102"/>
      <c r="G72" s="108"/>
      <c r="H72" s="154">
        <f>SUM(H9:H68)</f>
        <v>0</v>
      </c>
    </row>
    <row r="73" spans="1:33" x14ac:dyDescent="0.2">
      <c r="B73" s="120">
        <f>'Arnold Palmer Green 1 689'!B95</f>
        <v>63</v>
      </c>
      <c r="C73" s="468" t="s">
        <v>275</v>
      </c>
      <c r="D73" s="469"/>
      <c r="E73" s="103" t="s">
        <v>35</v>
      </c>
      <c r="F73" s="379">
        <v>1</v>
      </c>
      <c r="G73" s="424"/>
      <c r="H73" s="155">
        <f>SUM(F73*G73)</f>
        <v>0</v>
      </c>
      <c r="I73" s="104"/>
    </row>
    <row r="74" spans="1:33" ht="12.75" customHeight="1" x14ac:dyDescent="0.2">
      <c r="B74" s="87">
        <f>MAX(B10:B73)+1</f>
        <v>64</v>
      </c>
      <c r="C74" s="287" t="s">
        <v>86</v>
      </c>
      <c r="D74" s="288"/>
      <c r="E74" s="78" t="s">
        <v>35</v>
      </c>
      <c r="F74" s="380">
        <v>1</v>
      </c>
      <c r="G74" s="425"/>
      <c r="H74" s="155">
        <f>SUM(F74*G74)</f>
        <v>0</v>
      </c>
      <c r="I74" s="106"/>
      <c r="K74" s="251"/>
    </row>
    <row r="75" spans="1:33" ht="12.75" customHeight="1" thickBot="1" x14ac:dyDescent="0.25">
      <c r="B75" s="87">
        <f>MAX(B11:B74)+1</f>
        <v>65</v>
      </c>
      <c r="C75" s="450" t="s">
        <v>78</v>
      </c>
      <c r="D75" s="451"/>
      <c r="E75" s="78"/>
      <c r="F75" s="201">
        <v>0.1</v>
      </c>
      <c r="G75" s="105"/>
      <c r="H75" s="156">
        <f>SUM(H72*10%)</f>
        <v>0</v>
      </c>
      <c r="I75" s="107"/>
    </row>
    <row r="76" spans="1:33" ht="29.25" customHeight="1" thickBot="1" x14ac:dyDescent="0.25">
      <c r="B76" s="100"/>
      <c r="C76" s="462" t="s">
        <v>286</v>
      </c>
      <c r="D76" s="463"/>
      <c r="E76" s="101"/>
      <c r="F76" s="102"/>
      <c r="G76" s="108"/>
      <c r="H76" s="154">
        <f>SUM(H72:H75)</f>
        <v>0</v>
      </c>
    </row>
    <row r="77" spans="1:33" ht="12.75" hidden="1" customHeight="1" x14ac:dyDescent="0.2">
      <c r="C77" s="39" t="s">
        <v>134</v>
      </c>
    </row>
    <row r="78" spans="1:33" ht="12.75" hidden="1" customHeight="1" x14ac:dyDescent="0.2">
      <c r="B78" s="109"/>
    </row>
    <row r="79" spans="1:33" ht="12.75" hidden="1" customHeight="1" x14ac:dyDescent="0.2">
      <c r="B79" s="109" t="s">
        <v>4</v>
      </c>
      <c r="C79" s="39" t="s">
        <v>30</v>
      </c>
    </row>
    <row r="80" spans="1:33" ht="12.75" hidden="1" customHeight="1" x14ac:dyDescent="0.2">
      <c r="A80" s="416" t="s">
        <v>158</v>
      </c>
    </row>
    <row r="81" spans="1:16" ht="12.75" hidden="1" customHeight="1" x14ac:dyDescent="0.25">
      <c r="B81" s="417"/>
      <c r="D81" s="40" t="s">
        <v>92</v>
      </c>
      <c r="E81" s="132">
        <v>32</v>
      </c>
      <c r="F81" s="45" t="s">
        <v>120</v>
      </c>
      <c r="G81" s="134">
        <v>132</v>
      </c>
      <c r="O81" s="388"/>
      <c r="P81" s="388"/>
    </row>
    <row r="82" spans="1:16" ht="12.75" hidden="1" customHeight="1" x14ac:dyDescent="0.25">
      <c r="A82" s="39" t="s">
        <v>38</v>
      </c>
      <c r="B82" s="40"/>
      <c r="D82" s="40" t="s">
        <v>15</v>
      </c>
      <c r="E82" s="111">
        <v>4.72</v>
      </c>
      <c r="F82" s="42" t="s">
        <v>16</v>
      </c>
      <c r="G82" s="43" t="s">
        <v>17</v>
      </c>
      <c r="K82" s="388"/>
    </row>
    <row r="83" spans="1:16" ht="12.75" hidden="1" customHeight="1" x14ac:dyDescent="0.25">
      <c r="A83" s="115">
        <v>2</v>
      </c>
      <c r="B83" s="417"/>
      <c r="D83" s="40" t="s">
        <v>18</v>
      </c>
      <c r="E83" s="112">
        <v>0.09</v>
      </c>
      <c r="F83" s="42" t="s">
        <v>16</v>
      </c>
      <c r="G83" s="43">
        <f>(E82-E83)+E90</f>
        <v>4.63</v>
      </c>
      <c r="H83" s="39"/>
      <c r="K83" s="388"/>
    </row>
    <row r="84" spans="1:16" ht="12.75" hidden="1" customHeight="1" x14ac:dyDescent="0.25">
      <c r="A84" s="42"/>
      <c r="B84" s="417"/>
      <c r="C84" s="417"/>
      <c r="D84" s="40" t="s">
        <v>19</v>
      </c>
      <c r="E84" s="112">
        <v>4</v>
      </c>
      <c r="F84" s="39" t="s">
        <v>20</v>
      </c>
      <c r="K84" s="388"/>
    </row>
    <row r="85" spans="1:16" ht="12.75" hidden="1" customHeight="1" x14ac:dyDescent="0.25">
      <c r="A85" s="116" t="s">
        <v>39</v>
      </c>
      <c r="B85" s="417"/>
      <c r="C85" s="417"/>
      <c r="D85" s="40" t="s">
        <v>21</v>
      </c>
      <c r="E85" s="115">
        <v>10</v>
      </c>
      <c r="F85" s="39" t="s">
        <v>20</v>
      </c>
      <c r="K85" s="388"/>
    </row>
    <row r="86" spans="1:16" ht="12.75" hidden="1" customHeight="1" x14ac:dyDescent="0.2">
      <c r="A86" s="115" t="s">
        <v>41</v>
      </c>
      <c r="B86" s="417"/>
      <c r="C86" s="417"/>
      <c r="D86" s="40" t="s">
        <v>22</v>
      </c>
      <c r="E86" s="115">
        <v>4</v>
      </c>
      <c r="F86" s="42" t="s">
        <v>20</v>
      </c>
    </row>
    <row r="87" spans="1:16" ht="12.75" hidden="1" customHeight="1" x14ac:dyDescent="0.2">
      <c r="A87" s="42"/>
      <c r="B87" s="417"/>
      <c r="C87" s="417"/>
      <c r="D87" s="40" t="s">
        <v>23</v>
      </c>
      <c r="E87" s="44">
        <f>ROUNDUP(E84^2*3.14/4,0)</f>
        <v>13</v>
      </c>
      <c r="F87" s="42" t="s">
        <v>24</v>
      </c>
    </row>
    <row r="88" spans="1:16" ht="12.75" hidden="1" customHeight="1" x14ac:dyDescent="0.2">
      <c r="A88" s="42" t="s">
        <v>68</v>
      </c>
      <c r="B88" s="39"/>
      <c r="D88" s="40" t="s">
        <v>25</v>
      </c>
      <c r="E88" s="44">
        <f>ROUNDUP(2*3.14*(E84/2)*((E84/2)+((E82-E83)+E90)),0)</f>
        <v>84</v>
      </c>
      <c r="F88" s="42" t="s">
        <v>24</v>
      </c>
    </row>
    <row r="89" spans="1:16" ht="12.75" hidden="1" customHeight="1" x14ac:dyDescent="0.2">
      <c r="A89" s="115" t="s">
        <v>40</v>
      </c>
      <c r="D89" s="40" t="s">
        <v>26</v>
      </c>
      <c r="E89" s="44">
        <f>E88-E87*2</f>
        <v>58</v>
      </c>
      <c r="F89" s="42" t="s">
        <v>24</v>
      </c>
    </row>
    <row r="90" spans="1:16" ht="12.75" hidden="1" customHeight="1" x14ac:dyDescent="0.25">
      <c r="A90" s="42"/>
      <c r="B90" s="39"/>
      <c r="D90" s="40" t="s">
        <v>152</v>
      </c>
      <c r="E90" s="111">
        <v>0</v>
      </c>
      <c r="F90" s="42" t="s">
        <v>20</v>
      </c>
      <c r="L90" s="388"/>
      <c r="M90" s="388"/>
    </row>
    <row r="91" spans="1:16" ht="12.75" hidden="1" customHeight="1" x14ac:dyDescent="0.2">
      <c r="A91" s="42" t="s">
        <v>71</v>
      </c>
      <c r="D91" s="40" t="s">
        <v>42</v>
      </c>
      <c r="E91" s="111">
        <v>0</v>
      </c>
      <c r="F91" s="42" t="s">
        <v>20</v>
      </c>
    </row>
    <row r="92" spans="1:16" ht="12.75" hidden="1" customHeight="1" x14ac:dyDescent="0.2">
      <c r="A92" s="115" t="s">
        <v>41</v>
      </c>
      <c r="D92" s="40" t="s">
        <v>43</v>
      </c>
      <c r="E92" s="111">
        <v>0</v>
      </c>
      <c r="F92" s="42" t="s">
        <v>20</v>
      </c>
    </row>
    <row r="93" spans="1:16" ht="12.75" hidden="1" customHeight="1" x14ac:dyDescent="0.2">
      <c r="A93" s="42"/>
    </row>
    <row r="94" spans="1:16" ht="12.75" hidden="1" customHeight="1" x14ac:dyDescent="0.2">
      <c r="A94" s="42" t="s">
        <v>91</v>
      </c>
    </row>
    <row r="95" spans="1:16" ht="12.75" hidden="1" customHeight="1" x14ac:dyDescent="0.25">
      <c r="A95" s="115" t="s">
        <v>40</v>
      </c>
      <c r="C95" s="388"/>
      <c r="D95" s="388"/>
      <c r="E95" s="113" t="s">
        <v>93</v>
      </c>
      <c r="F95" s="113" t="s">
        <v>94</v>
      </c>
      <c r="G95" s="418"/>
      <c r="H95" s="39"/>
      <c r="I95" s="39" t="s">
        <v>101</v>
      </c>
      <c r="J95" s="39" t="s">
        <v>95</v>
      </c>
      <c r="K95" s="39" t="s">
        <v>96</v>
      </c>
      <c r="L95" s="39" t="s">
        <v>102</v>
      </c>
    </row>
    <row r="96" spans="1:16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388"/>
      <c r="H96" s="39"/>
      <c r="I96" s="45">
        <v>2</v>
      </c>
      <c r="J96" s="113">
        <v>2.0499999999999998</v>
      </c>
      <c r="K96" s="113"/>
      <c r="L96" s="111">
        <v>2.0470000000000002</v>
      </c>
    </row>
    <row r="97" spans="1:11" ht="12.75" hidden="1" customHeight="1" x14ac:dyDescent="0.25">
      <c r="C97" s="40" t="e">
        <f>VLOOKUP(J10,I98:K101,2)</f>
        <v>#N/A</v>
      </c>
      <c r="D97" s="45">
        <f>E81</f>
        <v>32</v>
      </c>
      <c r="E97" s="41" t="e">
        <f>(D97/448.83)/((C97/12)^2*3.14/4)</f>
        <v>#N/A</v>
      </c>
      <c r="F97" s="41" t="e">
        <f>((D97/448.83)/((C97/12)^2*3.14/4))*1.5</f>
        <v>#N/A</v>
      </c>
      <c r="G97" s="388"/>
      <c r="H97" s="39"/>
      <c r="I97" s="45">
        <v>4</v>
      </c>
      <c r="J97" s="111">
        <v>3.89</v>
      </c>
      <c r="K97" s="111">
        <v>4.2699999999999996</v>
      </c>
    </row>
    <row r="98" spans="1:11" ht="12.75" hidden="1" customHeight="1" x14ac:dyDescent="0.25">
      <c r="A98" s="39" t="s">
        <v>40</v>
      </c>
      <c r="C98" s="388"/>
      <c r="D98" s="388"/>
      <c r="E98" s="177" t="e">
        <f xml:space="preserve"> IF(E97&gt;=8,"Upsize","Keep Size")</f>
        <v>#N/A</v>
      </c>
      <c r="F98" s="388"/>
      <c r="G98" s="388"/>
      <c r="H98" s="39"/>
      <c r="I98" s="45">
        <v>6</v>
      </c>
      <c r="J98" s="111">
        <v>5.59</v>
      </c>
      <c r="K98" s="111">
        <v>6.13</v>
      </c>
    </row>
    <row r="99" spans="1:11" ht="12.75" hidden="1" customHeight="1" x14ac:dyDescent="0.2">
      <c r="A99" s="39" t="s">
        <v>41</v>
      </c>
      <c r="E99" s="39"/>
      <c r="F99" s="39"/>
      <c r="G99" s="39"/>
      <c r="H99" s="39"/>
      <c r="I99" s="45">
        <v>8</v>
      </c>
      <c r="J99" s="111">
        <v>7.34</v>
      </c>
      <c r="K99" s="111">
        <v>8.0399999999999991</v>
      </c>
    </row>
    <row r="100" spans="1:11" ht="12.75" hidden="1" customHeight="1" x14ac:dyDescent="0.2">
      <c r="E100" s="45" t="s">
        <v>160</v>
      </c>
      <c r="F100" s="39"/>
      <c r="G100" s="39"/>
      <c r="H100" s="39"/>
      <c r="I100" s="45">
        <v>10</v>
      </c>
      <c r="J100" s="111">
        <v>8.9600000000000009</v>
      </c>
    </row>
    <row r="101" spans="1:11" ht="12.75" hidden="1" customHeight="1" x14ac:dyDescent="0.2">
      <c r="E101" s="39"/>
      <c r="F101" s="39"/>
      <c r="G101" s="39"/>
      <c r="H101" s="39"/>
      <c r="I101" s="45">
        <v>12</v>
      </c>
      <c r="J101" s="111">
        <v>10.66</v>
      </c>
    </row>
    <row r="102" spans="1:11" ht="12.75" hidden="1" customHeight="1" x14ac:dyDescent="0.2">
      <c r="G102" s="39"/>
      <c r="H102" s="39"/>
    </row>
    <row r="103" spans="1:11" ht="12.75" hidden="1" customHeight="1" x14ac:dyDescent="0.2"/>
    <row r="104" spans="1:11" ht="12.75" hidden="1" customHeight="1" x14ac:dyDescent="0.2"/>
    <row r="105" spans="1:11" ht="12.75" hidden="1" customHeight="1" x14ac:dyDescent="0.2">
      <c r="B105" s="45" t="s">
        <v>257</v>
      </c>
    </row>
    <row r="106" spans="1:11" ht="12.75" hidden="1" customHeight="1" x14ac:dyDescent="0.2"/>
    <row r="107" spans="1:11" ht="12.75" hidden="1" customHeight="1" x14ac:dyDescent="0.2"/>
    <row r="108" spans="1:11" ht="12.75" hidden="1" customHeight="1" x14ac:dyDescent="0.2"/>
    <row r="109" spans="1:11" ht="12.75" hidden="1" customHeight="1" x14ac:dyDescent="0.2"/>
    <row r="110" spans="1:11" hidden="1" x14ac:dyDescent="0.2"/>
  </sheetData>
  <sheetProtection algorithmName="SHA-512" hashValue="jqJQ3OzCQuNO7TlVLNv6vJzAt3I09ePhjJhgukNHgG84JjAQKdrr2bsbEJPfBKkMkiRnhfVW43Yd4vZ/1BGqnA==" saltValue="YMOm0Uvupd/fzMB+hvxA6Q==" spinCount="100000" sheet="1" objects="1" scenarios="1" selectLockedCells="1"/>
  <mergeCells count="38">
    <mergeCell ref="B1:C1"/>
    <mergeCell ref="B2:C2"/>
    <mergeCell ref="B3:E3"/>
    <mergeCell ref="B4:C4"/>
    <mergeCell ref="B5:H5"/>
    <mergeCell ref="B7:H7"/>
    <mergeCell ref="C8:D8"/>
    <mergeCell ref="C9:D9"/>
    <mergeCell ref="C10:D10"/>
    <mergeCell ref="C11:D11"/>
    <mergeCell ref="C21:D21"/>
    <mergeCell ref="C23:D23"/>
    <mergeCell ref="C24:D24"/>
    <mergeCell ref="C28:D28"/>
    <mergeCell ref="C12:D12"/>
    <mergeCell ref="C13:D13"/>
    <mergeCell ref="C14:D14"/>
    <mergeCell ref="C17:D17"/>
    <mergeCell ref="C19:D19"/>
    <mergeCell ref="C20:D20"/>
    <mergeCell ref="C18:D18"/>
    <mergeCell ref="C16:D16"/>
    <mergeCell ref="C32:D32"/>
    <mergeCell ref="C44:D44"/>
    <mergeCell ref="C45:D45"/>
    <mergeCell ref="C26:D26"/>
    <mergeCell ref="C29:D29"/>
    <mergeCell ref="C33:D33"/>
    <mergeCell ref="C30:D30"/>
    <mergeCell ref="C40:D40"/>
    <mergeCell ref="C46:D46"/>
    <mergeCell ref="C41:D41"/>
    <mergeCell ref="C43:D43"/>
    <mergeCell ref="C75:D75"/>
    <mergeCell ref="C76:D76"/>
    <mergeCell ref="C47:D47"/>
    <mergeCell ref="C72:D72"/>
    <mergeCell ref="C73:D73"/>
  </mergeCells>
  <dataValidations count="4">
    <dataValidation type="list" allowBlank="1" showInputMessage="1" showErrorMessage="1" sqref="J41 J32" xr:uid="{00000000-0002-0000-0100-000001000000}">
      <formula1>$R$25:$R$29</formula1>
    </dataValidation>
    <dataValidation type="list" allowBlank="1" showInputMessage="1" showErrorMessage="1" sqref="J10" xr:uid="{0E165C9F-71FF-4A88-8B67-9C954F9335CB}">
      <formula1>$I$96:$I$99</formula1>
    </dataValidation>
    <dataValidation type="list" allowBlank="1" showInputMessage="1" showErrorMessage="1" sqref="A86 A95 A92 A89" xr:uid="{00000000-0002-0000-0100-000002000000}">
      <formula1>$A$98:$A$99</formula1>
    </dataValidation>
    <dataValidation type="list" allowBlank="1" showInputMessage="1" showErrorMessage="1" sqref="J12" xr:uid="{00000000-0002-0000-01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Roman,Regular"Bidder:__________________
Signature:________________&amp;C&amp;"Times New Roman,Regular"&amp;10Page &amp;P of &amp;N&amp;R&amp;"Times New Roman,Regular"&amp;8Appendix K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AG105"/>
  <sheetViews>
    <sheetView topLeftCell="B1" zoomScaleNormal="100" zoomScaleSheetLayoutView="100" workbookViewId="0">
      <selection activeCell="G19" sqref="G19"/>
    </sheetView>
  </sheetViews>
  <sheetFormatPr defaultRowHeight="12.75" x14ac:dyDescent="0.2"/>
  <cols>
    <col min="1" max="1" width="0" style="39" hidden="1" customWidth="1"/>
    <col min="2" max="2" width="6.77734375" style="45" customWidth="1"/>
    <col min="3" max="3" width="29.77734375" style="39" customWidth="1"/>
    <col min="4" max="4" width="11.77734375" style="39" customWidth="1"/>
    <col min="5" max="5" width="6.77734375" style="45" customWidth="1"/>
    <col min="6" max="6" width="6.77734375" style="46" customWidth="1"/>
    <col min="7" max="7" width="9.77734375" style="42" customWidth="1"/>
    <col min="8" max="8" width="13.77734375" style="42" customWidth="1"/>
    <col min="9" max="9" width="3.77734375" style="304" hidden="1" customWidth="1"/>
    <col min="10" max="10" width="5.77734375" style="304" hidden="1" customWidth="1"/>
    <col min="11" max="18" width="6.77734375" style="304" hidden="1" customWidth="1"/>
    <col min="19" max="19" width="6.77734375" style="39" customWidth="1"/>
    <col min="20" max="23" width="8.21875" style="39" customWidth="1"/>
    <col min="24" max="16384" width="8.88671875" style="39"/>
  </cols>
  <sheetData>
    <row r="1" spans="1:33" ht="20.100000000000001" customHeight="1" x14ac:dyDescent="0.25">
      <c r="B1" s="460" t="s">
        <v>271</v>
      </c>
      <c r="C1" s="460"/>
      <c r="D1" s="1"/>
      <c r="E1" s="2"/>
      <c r="F1" s="42"/>
      <c r="H1" s="39"/>
      <c r="M1" s="311"/>
      <c r="N1" s="312"/>
      <c r="O1" s="313"/>
      <c r="P1" s="314"/>
      <c r="Q1" s="315"/>
      <c r="R1" s="316"/>
      <c r="S1" s="60"/>
      <c r="T1" s="61"/>
      <c r="U1" s="62"/>
      <c r="V1" s="63"/>
      <c r="W1" s="63"/>
      <c r="X1" s="59"/>
      <c r="Y1" s="59"/>
      <c r="Z1" s="59"/>
      <c r="AA1" s="59"/>
      <c r="AB1" s="59"/>
      <c r="AC1" s="59"/>
      <c r="AD1" s="59"/>
      <c r="AE1" s="59"/>
      <c r="AF1" s="59"/>
    </row>
    <row r="2" spans="1:33" ht="20.100000000000001" customHeight="1" x14ac:dyDescent="0.25">
      <c r="B2" s="460" t="s">
        <v>272</v>
      </c>
      <c r="C2" s="460"/>
      <c r="D2" s="1"/>
      <c r="E2" s="2"/>
      <c r="F2" s="42"/>
      <c r="H2" s="39"/>
      <c r="M2" s="311"/>
      <c r="N2" s="312"/>
      <c r="O2" s="313"/>
      <c r="P2" s="314"/>
      <c r="Q2" s="315"/>
      <c r="R2" s="316"/>
      <c r="S2" s="60"/>
      <c r="T2" s="61"/>
      <c r="U2" s="62"/>
      <c r="V2" s="63"/>
      <c r="W2" s="63"/>
      <c r="X2" s="59"/>
      <c r="Y2" s="59"/>
      <c r="Z2" s="59"/>
      <c r="AA2" s="59"/>
      <c r="AB2" s="59"/>
      <c r="AC2" s="59"/>
      <c r="AD2" s="59"/>
      <c r="AE2" s="59"/>
      <c r="AF2" s="59"/>
    </row>
    <row r="3" spans="1:33" ht="20.100000000000001" customHeight="1" x14ac:dyDescent="0.25">
      <c r="B3" s="460" t="s">
        <v>274</v>
      </c>
      <c r="C3" s="460"/>
      <c r="D3" s="460"/>
      <c r="E3" s="460"/>
      <c r="F3" s="42"/>
      <c r="H3" s="39"/>
      <c r="M3" s="311"/>
      <c r="N3" s="312"/>
      <c r="O3" s="313"/>
      <c r="P3" s="314"/>
      <c r="Q3" s="315"/>
      <c r="R3" s="316"/>
      <c r="S3" s="60"/>
      <c r="T3" s="61"/>
      <c r="U3" s="62"/>
      <c r="V3" s="63"/>
      <c r="W3" s="63"/>
      <c r="X3" s="59"/>
      <c r="Y3" s="59"/>
      <c r="Z3" s="59"/>
      <c r="AA3" s="59"/>
      <c r="AB3" s="59"/>
      <c r="AC3" s="59"/>
      <c r="AD3" s="59"/>
      <c r="AE3" s="59"/>
      <c r="AF3" s="59"/>
    </row>
    <row r="4" spans="1:33" ht="20.100000000000001" customHeight="1" x14ac:dyDescent="0.25">
      <c r="B4" s="461" t="s">
        <v>273</v>
      </c>
      <c r="C4" s="461"/>
      <c r="D4" s="2"/>
      <c r="E4" s="4"/>
      <c r="F4" s="42"/>
      <c r="H4" s="39"/>
      <c r="M4" s="311"/>
      <c r="N4" s="312"/>
      <c r="O4" s="313"/>
      <c r="P4" s="314"/>
      <c r="Q4" s="315"/>
      <c r="R4" s="316"/>
      <c r="S4" s="60"/>
      <c r="T4" s="61"/>
      <c r="U4" s="62"/>
      <c r="V4" s="63"/>
      <c r="W4" s="63"/>
      <c r="X4" s="59"/>
      <c r="Y4" s="59"/>
      <c r="Z4" s="59"/>
      <c r="AA4" s="59"/>
      <c r="AB4" s="59"/>
      <c r="AC4" s="59"/>
      <c r="AD4" s="59"/>
      <c r="AE4" s="59"/>
      <c r="AF4" s="59"/>
    </row>
    <row r="5" spans="1:33" ht="20.100000000000001" customHeight="1" x14ac:dyDescent="0.2">
      <c r="B5" s="477" t="s">
        <v>284</v>
      </c>
      <c r="C5" s="477"/>
      <c r="D5" s="477"/>
      <c r="E5" s="477"/>
      <c r="F5" s="477"/>
      <c r="G5" s="477"/>
      <c r="H5" s="477"/>
      <c r="M5" s="311"/>
      <c r="N5" s="312"/>
      <c r="O5" s="313"/>
      <c r="P5" s="314"/>
      <c r="Q5" s="315"/>
      <c r="R5" s="316"/>
      <c r="S5" s="60"/>
      <c r="T5" s="61"/>
      <c r="U5" s="62"/>
      <c r="V5" s="63"/>
      <c r="W5" s="63"/>
      <c r="X5" s="59"/>
      <c r="Y5" s="59"/>
      <c r="Z5" s="59"/>
      <c r="AA5" s="59"/>
      <c r="AB5" s="59"/>
      <c r="AC5" s="59"/>
      <c r="AD5" s="59"/>
      <c r="AE5" s="59"/>
      <c r="AF5" s="59"/>
    </row>
    <row r="6" spans="1:33" ht="12.95" customHeight="1" thickBot="1" x14ac:dyDescent="0.25">
      <c r="B6" s="79"/>
      <c r="C6" s="79"/>
      <c r="D6" s="80"/>
      <c r="E6" s="46"/>
      <c r="F6" s="42"/>
      <c r="H6" s="39"/>
      <c r="M6" s="316"/>
      <c r="N6" s="317"/>
      <c r="O6" s="318"/>
      <c r="P6" s="319"/>
      <c r="Q6" s="320"/>
      <c r="R6" s="316"/>
      <c r="S6" s="60"/>
      <c r="T6" s="61"/>
      <c r="U6" s="62"/>
      <c r="V6" s="63"/>
      <c r="W6" s="63"/>
      <c r="X6" s="59"/>
      <c r="Y6" s="59"/>
      <c r="Z6" s="59"/>
      <c r="AA6" s="59"/>
      <c r="AB6" s="59"/>
      <c r="AC6" s="59"/>
      <c r="AD6" s="59"/>
      <c r="AE6" s="59"/>
      <c r="AF6" s="59"/>
    </row>
    <row r="7" spans="1:33" ht="17.100000000000001" customHeight="1" thickBot="1" x14ac:dyDescent="0.25">
      <c r="B7" s="478" t="s">
        <v>278</v>
      </c>
      <c r="C7" s="479"/>
      <c r="D7" s="479"/>
      <c r="E7" s="479"/>
      <c r="F7" s="479"/>
      <c r="G7" s="479"/>
      <c r="H7" s="480"/>
      <c r="N7" s="321"/>
      <c r="O7" s="321"/>
      <c r="P7" s="321"/>
      <c r="Q7" s="321"/>
      <c r="R7" s="321"/>
      <c r="S7" s="64"/>
      <c r="T7" s="64"/>
      <c r="U7" s="64"/>
      <c r="V7" s="64"/>
      <c r="W7" s="64"/>
      <c r="X7" s="64"/>
      <c r="Y7" s="59"/>
      <c r="Z7" s="59"/>
      <c r="AA7" s="59"/>
      <c r="AB7" s="59"/>
      <c r="AC7" s="59"/>
      <c r="AD7" s="59"/>
      <c r="AE7" s="59"/>
      <c r="AF7" s="59"/>
      <c r="AG7" s="59"/>
    </row>
    <row r="8" spans="1:33" s="81" customFormat="1" ht="26.25" thickBot="1" x14ac:dyDescent="0.25">
      <c r="B8" s="82" t="s">
        <v>12</v>
      </c>
      <c r="C8" s="475" t="s">
        <v>0</v>
      </c>
      <c r="D8" s="476"/>
      <c r="E8" s="83" t="s">
        <v>123</v>
      </c>
      <c r="F8" s="84" t="s">
        <v>2</v>
      </c>
      <c r="G8" s="85" t="s">
        <v>124</v>
      </c>
      <c r="H8" s="86" t="s">
        <v>29</v>
      </c>
      <c r="I8" s="322"/>
      <c r="J8" s="322"/>
      <c r="K8" s="322"/>
      <c r="L8" s="322"/>
      <c r="M8" s="322"/>
      <c r="N8" s="323"/>
      <c r="O8" s="324"/>
      <c r="P8" s="323"/>
      <c r="Q8" s="323"/>
      <c r="R8" s="323"/>
      <c r="S8" s="65"/>
      <c r="T8" s="66"/>
      <c r="U8" s="65"/>
      <c r="V8" s="65"/>
      <c r="W8" s="65"/>
      <c r="X8" s="65"/>
      <c r="Y8" s="67"/>
      <c r="Z8" s="67"/>
      <c r="AA8" s="67"/>
      <c r="AB8" s="67"/>
      <c r="AC8" s="67"/>
      <c r="AD8" s="67"/>
      <c r="AE8" s="67"/>
      <c r="AF8" s="67"/>
      <c r="AG8" s="67"/>
    </row>
    <row r="9" spans="1:33" ht="12.95" customHeight="1" x14ac:dyDescent="0.2">
      <c r="A9" s="39" t="s">
        <v>44</v>
      </c>
      <c r="B9" s="87">
        <v>1</v>
      </c>
      <c r="C9" s="433" t="s">
        <v>8</v>
      </c>
      <c r="D9" s="434"/>
      <c r="E9" s="88" t="s">
        <v>9</v>
      </c>
      <c r="F9" s="15">
        <f>E88</f>
        <v>506</v>
      </c>
      <c r="G9" s="419"/>
      <c r="H9" s="139">
        <f t="shared" ref="H9:H60" si="0">F9*G9</f>
        <v>0</v>
      </c>
      <c r="N9" s="323"/>
      <c r="O9" s="323"/>
      <c r="P9" s="323"/>
      <c r="Q9" s="323"/>
      <c r="R9" s="323"/>
      <c r="S9" s="65"/>
      <c r="T9" s="65"/>
      <c r="U9" s="65"/>
      <c r="V9" s="65"/>
      <c r="W9" s="65"/>
      <c r="X9" s="65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12.95" customHeight="1" x14ac:dyDescent="0.2">
      <c r="A10" s="39" t="s">
        <v>45</v>
      </c>
      <c r="B10" s="87">
        <f>B9+1</f>
        <v>2</v>
      </c>
      <c r="C10" s="435" t="s">
        <v>153</v>
      </c>
      <c r="D10" s="436"/>
      <c r="E10" s="18" t="s">
        <v>5</v>
      </c>
      <c r="F10" s="15">
        <f>IF(A92="No",ROUNDUP(((G83-1.5+E85)*A83),0),ROUNDUP(((G83+2+E85)*A83),0))</f>
        <v>72</v>
      </c>
      <c r="G10" s="419"/>
      <c r="H10" s="139">
        <f t="shared" si="0"/>
        <v>0</v>
      </c>
      <c r="J10" s="325">
        <v>6</v>
      </c>
      <c r="K10" s="311"/>
      <c r="L10" s="311"/>
      <c r="M10" s="311"/>
      <c r="N10" s="323"/>
      <c r="O10" s="323"/>
      <c r="P10" s="323"/>
      <c r="Q10" s="323"/>
      <c r="R10" s="323"/>
      <c r="S10" s="65"/>
      <c r="T10" s="65"/>
      <c r="U10" s="65"/>
      <c r="V10" s="65"/>
      <c r="W10" s="65"/>
      <c r="X10" s="65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12.95" customHeight="1" x14ac:dyDescent="0.25">
      <c r="A11" s="39" t="s">
        <v>46</v>
      </c>
      <c r="B11" s="87">
        <f t="shared" ref="B11:B63" si="1">B10+1</f>
        <v>3</v>
      </c>
      <c r="C11" s="435" t="s">
        <v>129</v>
      </c>
      <c r="D11" s="436"/>
      <c r="E11" s="18" t="s">
        <v>6</v>
      </c>
      <c r="F11" s="15">
        <f>A83</f>
        <v>2</v>
      </c>
      <c r="G11" s="419"/>
      <c r="H11" s="139">
        <f>F11*G11</f>
        <v>0</v>
      </c>
      <c r="K11" s="311"/>
      <c r="L11" s="311"/>
      <c r="M11" s="316"/>
      <c r="N11" s="316"/>
      <c r="O11" s="326"/>
      <c r="P11" s="316"/>
      <c r="Q11" s="316"/>
      <c r="R11" s="327"/>
      <c r="S11" s="89"/>
      <c r="T11" s="68"/>
      <c r="U11" s="69"/>
      <c r="V11" s="49"/>
      <c r="W11" s="50"/>
      <c r="X11" s="51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12.95" customHeight="1" x14ac:dyDescent="0.25">
      <c r="A12" s="39" t="s">
        <v>47</v>
      </c>
      <c r="B12" s="87">
        <f t="shared" si="1"/>
        <v>4</v>
      </c>
      <c r="C12" s="435" t="s">
        <v>107</v>
      </c>
      <c r="D12" s="436"/>
      <c r="E12" s="18" t="s">
        <v>6</v>
      </c>
      <c r="F12" s="15">
        <f>A83</f>
        <v>2</v>
      </c>
      <c r="G12" s="419"/>
      <c r="H12" s="139">
        <f t="shared" si="0"/>
        <v>0</v>
      </c>
      <c r="J12" s="328"/>
      <c r="K12" s="329"/>
      <c r="L12" s="316"/>
      <c r="M12" s="316"/>
      <c r="N12" s="316"/>
      <c r="O12" s="330"/>
      <c r="P12" s="311"/>
      <c r="R12" s="331"/>
      <c r="S12" s="92"/>
      <c r="T12" s="53"/>
      <c r="U12" s="49"/>
      <c r="V12" s="49"/>
      <c r="W12" s="50"/>
      <c r="X12" s="51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12.95" customHeight="1" x14ac:dyDescent="0.25">
      <c r="A13" s="39" t="s">
        <v>48</v>
      </c>
      <c r="B13" s="87">
        <f t="shared" si="1"/>
        <v>5</v>
      </c>
      <c r="C13" s="435" t="s">
        <v>33</v>
      </c>
      <c r="D13" s="436"/>
      <c r="E13" s="18" t="s">
        <v>6</v>
      </c>
      <c r="F13" s="15">
        <f>IF((G83)&lt;18.3,2,2+(ROUNDDOWN(((G83-10.1)/8),0)))</f>
        <v>3</v>
      </c>
      <c r="G13" s="419"/>
      <c r="H13" s="139">
        <f t="shared" si="0"/>
        <v>0</v>
      </c>
      <c r="J13" s="332"/>
      <c r="K13" s="329"/>
      <c r="L13" s="316"/>
      <c r="M13" s="333"/>
      <c r="N13" s="316"/>
      <c r="O13" s="330"/>
      <c r="P13" s="316"/>
      <c r="Q13" s="316"/>
      <c r="R13" s="331"/>
      <c r="S13" s="92"/>
      <c r="T13" s="53"/>
      <c r="U13" s="49"/>
      <c r="V13" s="49"/>
      <c r="W13" s="55"/>
      <c r="X13" s="51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2.95" customHeight="1" x14ac:dyDescent="0.25">
      <c r="A14" s="39" t="s">
        <v>49</v>
      </c>
      <c r="B14" s="87">
        <f>B13+1</f>
        <v>6</v>
      </c>
      <c r="C14" s="302" t="s">
        <v>223</v>
      </c>
      <c r="D14" s="303"/>
      <c r="E14" s="165"/>
      <c r="F14" s="165"/>
      <c r="G14" s="167"/>
      <c r="H14" s="171"/>
      <c r="J14" s="332"/>
      <c r="K14" s="331"/>
      <c r="L14" s="331"/>
      <c r="M14" s="331"/>
      <c r="N14" s="331"/>
      <c r="O14" s="330"/>
      <c r="P14" s="316"/>
      <c r="Q14" s="316"/>
      <c r="R14" s="331"/>
      <c r="S14" s="92"/>
      <c r="T14" s="53"/>
      <c r="U14" s="49"/>
      <c r="V14" s="49"/>
      <c r="W14" s="50"/>
      <c r="X14" s="51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2.95" customHeight="1" x14ac:dyDescent="0.25">
      <c r="B15" s="164">
        <f>B14+0.1</f>
        <v>6.1</v>
      </c>
      <c r="C15" s="302" t="s">
        <v>223</v>
      </c>
      <c r="D15" s="303"/>
      <c r="E15" s="165"/>
      <c r="F15" s="165"/>
      <c r="G15" s="167"/>
      <c r="H15" s="171"/>
      <c r="J15" s="332"/>
      <c r="K15" s="331"/>
      <c r="L15" s="331"/>
      <c r="M15" s="331"/>
      <c r="N15" s="331"/>
      <c r="O15" s="330"/>
      <c r="P15" s="316"/>
      <c r="Q15" s="316"/>
      <c r="R15" s="331"/>
      <c r="S15" s="92"/>
      <c r="T15" s="53"/>
      <c r="U15" s="49"/>
      <c r="V15" s="49"/>
      <c r="W15" s="50"/>
      <c r="X15" s="51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2.95" customHeight="1" x14ac:dyDescent="0.25">
      <c r="B16" s="87">
        <f>B14+1</f>
        <v>7</v>
      </c>
      <c r="C16" s="435" t="s">
        <v>167</v>
      </c>
      <c r="D16" s="436"/>
      <c r="E16" s="165"/>
      <c r="F16" s="166"/>
      <c r="G16" s="167"/>
      <c r="H16" s="170"/>
      <c r="J16" s="332"/>
      <c r="K16" s="331"/>
      <c r="L16" s="331"/>
      <c r="M16" s="331"/>
      <c r="N16" s="331"/>
      <c r="O16" s="330"/>
      <c r="P16" s="316"/>
      <c r="Q16" s="316"/>
      <c r="R16" s="331"/>
      <c r="S16" s="92"/>
      <c r="T16" s="53"/>
      <c r="U16" s="49"/>
      <c r="V16" s="49"/>
      <c r="W16" s="50"/>
      <c r="X16" s="51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12.95" customHeight="1" x14ac:dyDescent="0.25">
      <c r="A17" s="39" t="s">
        <v>50</v>
      </c>
      <c r="B17" s="164">
        <f>B16+0.1</f>
        <v>7.1</v>
      </c>
      <c r="C17" s="435" t="s">
        <v>197</v>
      </c>
      <c r="D17" s="436"/>
      <c r="E17" s="18" t="s">
        <v>6</v>
      </c>
      <c r="F17" s="95">
        <v>1</v>
      </c>
      <c r="G17" s="420"/>
      <c r="H17" s="139">
        <f t="shared" si="0"/>
        <v>0</v>
      </c>
      <c r="J17" s="332"/>
      <c r="K17" s="334"/>
      <c r="L17" s="331"/>
      <c r="M17" s="331"/>
      <c r="N17" s="331"/>
      <c r="O17" s="330"/>
      <c r="P17" s="316"/>
      <c r="Q17" s="316"/>
      <c r="R17" s="331"/>
      <c r="S17" s="92"/>
      <c r="T17" s="53"/>
      <c r="U17" s="49"/>
      <c r="V17" s="49"/>
      <c r="W17" s="50"/>
      <c r="X17" s="51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12.95" customHeight="1" x14ac:dyDescent="0.25">
      <c r="B18" s="164">
        <f>B17+0.1</f>
        <v>7.1999999999999993</v>
      </c>
      <c r="C18" s="302" t="s">
        <v>223</v>
      </c>
      <c r="D18" s="303"/>
      <c r="E18" s="165"/>
      <c r="F18" s="165"/>
      <c r="G18" s="167"/>
      <c r="H18" s="171"/>
      <c r="J18" s="332"/>
      <c r="K18" s="331"/>
      <c r="L18" s="331"/>
      <c r="M18" s="331"/>
      <c r="N18" s="331"/>
      <c r="O18" s="330"/>
      <c r="P18" s="316"/>
      <c r="Q18" s="316"/>
      <c r="R18" s="331"/>
      <c r="S18" s="92"/>
      <c r="T18" s="53"/>
      <c r="U18" s="49"/>
      <c r="V18" s="49"/>
      <c r="W18" s="50"/>
      <c r="X18" s="51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12.95" customHeight="1" x14ac:dyDescent="0.25">
      <c r="B19" s="87">
        <f>B16+1</f>
        <v>8</v>
      </c>
      <c r="C19" s="435" t="s">
        <v>162</v>
      </c>
      <c r="D19" s="436"/>
      <c r="E19" s="18" t="s">
        <v>6</v>
      </c>
      <c r="F19" s="95">
        <v>1</v>
      </c>
      <c r="G19" s="420"/>
      <c r="H19" s="139">
        <f t="shared" si="0"/>
        <v>0</v>
      </c>
      <c r="J19" s="332"/>
      <c r="K19" s="331"/>
      <c r="L19" s="331"/>
      <c r="M19" s="331"/>
      <c r="N19" s="331"/>
      <c r="O19" s="330"/>
      <c r="P19" s="335"/>
      <c r="Q19" s="331"/>
      <c r="R19" s="331"/>
      <c r="S19" s="92"/>
      <c r="T19" s="53"/>
      <c r="U19" s="49"/>
      <c r="V19" s="49"/>
      <c r="W19" s="50"/>
      <c r="X19" s="51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12.95" customHeight="1" x14ac:dyDescent="0.25">
      <c r="A20" s="39" t="s">
        <v>51</v>
      </c>
      <c r="B20" s="87">
        <f t="shared" si="1"/>
        <v>9</v>
      </c>
      <c r="C20" s="452" t="s">
        <v>87</v>
      </c>
      <c r="D20" s="453"/>
      <c r="E20" s="18" t="s">
        <v>6</v>
      </c>
      <c r="F20" s="95">
        <v>1</v>
      </c>
      <c r="G20" s="420"/>
      <c r="H20" s="139">
        <f t="shared" si="0"/>
        <v>0</v>
      </c>
      <c r="J20" s="336"/>
      <c r="K20" s="331"/>
      <c r="L20" s="331"/>
      <c r="M20" s="337" t="s">
        <v>228</v>
      </c>
      <c r="N20" s="337"/>
      <c r="O20" s="338"/>
      <c r="P20" s="339"/>
      <c r="Q20" s="327"/>
      <c r="R20" s="327"/>
      <c r="S20" s="92"/>
      <c r="T20" s="53"/>
      <c r="U20" s="49"/>
      <c r="V20" s="49"/>
      <c r="W20" s="50"/>
      <c r="X20" s="51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12.95" customHeight="1" x14ac:dyDescent="0.25">
      <c r="A21" s="39" t="s">
        <v>51</v>
      </c>
      <c r="B21" s="87">
        <f t="shared" si="1"/>
        <v>10</v>
      </c>
      <c r="C21" s="302" t="s">
        <v>223</v>
      </c>
      <c r="D21" s="303"/>
      <c r="E21" s="165"/>
      <c r="F21" s="165"/>
      <c r="G21" s="167"/>
      <c r="H21" s="171"/>
      <c r="J21" s="332"/>
      <c r="K21" s="331"/>
      <c r="L21" s="331"/>
      <c r="M21" s="337" t="s">
        <v>229</v>
      </c>
      <c r="N21" s="337"/>
      <c r="O21" s="340" t="s">
        <v>230</v>
      </c>
      <c r="P21" s="340" t="s">
        <v>231</v>
      </c>
      <c r="Q21" s="327"/>
      <c r="R21" s="327"/>
      <c r="S21" s="92"/>
      <c r="T21" s="53"/>
      <c r="U21" s="49"/>
      <c r="V21" s="49"/>
      <c r="W21" s="50"/>
      <c r="X21" s="51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12.95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48</v>
      </c>
      <c r="G22" s="420"/>
      <c r="H22" s="139">
        <f t="shared" si="0"/>
        <v>0</v>
      </c>
      <c r="K22" s="341"/>
      <c r="L22" s="316"/>
      <c r="M22" s="342" t="s">
        <v>232</v>
      </c>
      <c r="N22" s="342"/>
      <c r="O22" s="342" t="s">
        <v>233</v>
      </c>
      <c r="P22" s="342" t="s">
        <v>234</v>
      </c>
      <c r="Q22" s="343" t="s">
        <v>235</v>
      </c>
      <c r="R22" s="344"/>
      <c r="S22" s="143"/>
      <c r="T22" s="144"/>
      <c r="U22" s="143"/>
      <c r="V22" s="53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2.95" customHeight="1" x14ac:dyDescent="0.2">
      <c r="A23" s="39" t="s">
        <v>53</v>
      </c>
      <c r="B23" s="87">
        <f t="shared" si="1"/>
        <v>12</v>
      </c>
      <c r="C23" s="302" t="s">
        <v>223</v>
      </c>
      <c r="D23" s="303"/>
      <c r="E23" s="165"/>
      <c r="F23" s="165"/>
      <c r="G23" s="167"/>
      <c r="H23" s="171"/>
      <c r="J23" s="311"/>
      <c r="K23" s="341"/>
      <c r="L23" s="345"/>
      <c r="M23" s="342" t="s">
        <v>236</v>
      </c>
      <c r="N23" s="342"/>
      <c r="O23" s="342" t="s">
        <v>237</v>
      </c>
      <c r="P23" s="342" t="s">
        <v>238</v>
      </c>
      <c r="Q23" s="343" t="s">
        <v>235</v>
      </c>
      <c r="R23" s="346"/>
      <c r="S23" s="145"/>
      <c r="T23" s="145"/>
      <c r="U23" s="145"/>
      <c r="V23" s="145"/>
      <c r="W23" s="49"/>
      <c r="X23" s="4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2.95" customHeight="1" x14ac:dyDescent="0.2">
      <c r="A24" s="39" t="s">
        <v>67</v>
      </c>
      <c r="B24" s="87">
        <f t="shared" si="1"/>
        <v>13</v>
      </c>
      <c r="C24" s="302" t="s">
        <v>223</v>
      </c>
      <c r="D24" s="303"/>
      <c r="E24" s="165"/>
      <c r="F24" s="165"/>
      <c r="G24" s="167"/>
      <c r="H24" s="171"/>
      <c r="J24" s="347"/>
      <c r="K24" s="329"/>
      <c r="L24" s="348"/>
      <c r="M24" s="342" t="s">
        <v>239</v>
      </c>
      <c r="N24" s="342"/>
      <c r="O24" s="342" t="s">
        <v>240</v>
      </c>
      <c r="P24" s="342" t="s">
        <v>241</v>
      </c>
      <c r="Q24" s="344"/>
      <c r="R24" s="349"/>
      <c r="S24" s="196"/>
      <c r="T24" s="196"/>
      <c r="U24" s="196"/>
      <c r="V24" s="196"/>
      <c r="W24" s="49"/>
      <c r="X24" s="4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2.95" customHeight="1" x14ac:dyDescent="0.2">
      <c r="B25" s="87">
        <f t="shared" si="1"/>
        <v>14</v>
      </c>
      <c r="C25" s="435" t="s">
        <v>138</v>
      </c>
      <c r="D25" s="436"/>
      <c r="E25" s="18" t="s">
        <v>9</v>
      </c>
      <c r="F25" s="57">
        <v>250</v>
      </c>
      <c r="G25" s="419"/>
      <c r="H25" s="139">
        <f t="shared" si="0"/>
        <v>0</v>
      </c>
      <c r="J25" s="347"/>
      <c r="K25" s="329"/>
      <c r="L25" s="348"/>
      <c r="M25" s="342" t="s">
        <v>239</v>
      </c>
      <c r="N25" s="350"/>
      <c r="O25" s="342" t="s">
        <v>242</v>
      </c>
      <c r="P25" s="342" t="s">
        <v>243</v>
      </c>
      <c r="Q25" s="344"/>
      <c r="R25" s="349"/>
      <c r="S25" s="145"/>
      <c r="T25" s="145"/>
      <c r="U25" s="145"/>
      <c r="V25" s="145"/>
      <c r="W25" s="49"/>
      <c r="X25" s="4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2.95" customHeight="1" x14ac:dyDescent="0.2">
      <c r="A26" s="39" t="s">
        <v>54</v>
      </c>
      <c r="B26" s="87">
        <f t="shared" si="1"/>
        <v>15</v>
      </c>
      <c r="C26" s="302" t="s">
        <v>223</v>
      </c>
      <c r="D26" s="303"/>
      <c r="E26" s="165"/>
      <c r="F26" s="165"/>
      <c r="G26" s="167"/>
      <c r="H26" s="171"/>
      <c r="J26" s="332"/>
      <c r="K26" s="329"/>
      <c r="L26" s="348"/>
      <c r="M26" s="351" t="s">
        <v>244</v>
      </c>
      <c r="N26" s="342"/>
      <c r="O26" s="342" t="s">
        <v>245</v>
      </c>
      <c r="P26" s="342" t="s">
        <v>246</v>
      </c>
      <c r="Q26" s="344"/>
      <c r="R26" s="346"/>
      <c r="S26" s="145"/>
      <c r="T26" s="145"/>
      <c r="U26" s="145"/>
      <c r="V26" s="145"/>
      <c r="W26" s="49"/>
      <c r="X26" s="4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2.95" customHeight="1" x14ac:dyDescent="0.2">
      <c r="B27" s="87">
        <f t="shared" si="1"/>
        <v>16</v>
      </c>
      <c r="C27" s="281" t="s">
        <v>84</v>
      </c>
      <c r="D27" s="282"/>
      <c r="E27" s="18" t="s">
        <v>6</v>
      </c>
      <c r="F27" s="95">
        <v>1</v>
      </c>
      <c r="G27" s="419"/>
      <c r="H27" s="139">
        <f t="shared" si="0"/>
        <v>0</v>
      </c>
      <c r="J27" s="332"/>
      <c r="K27" s="329"/>
      <c r="L27" s="348"/>
      <c r="M27" s="351" t="s">
        <v>247</v>
      </c>
      <c r="N27" s="342"/>
      <c r="O27" s="342" t="s">
        <v>248</v>
      </c>
      <c r="P27" s="342" t="s">
        <v>249</v>
      </c>
      <c r="Q27" s="344"/>
      <c r="R27" s="346"/>
      <c r="S27" s="145"/>
      <c r="T27" s="145"/>
      <c r="U27" s="145"/>
      <c r="V27" s="145"/>
      <c r="W27" s="49"/>
      <c r="X27" s="4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12.95" customHeight="1" x14ac:dyDescent="0.2">
      <c r="A28" s="39" t="s">
        <v>55</v>
      </c>
      <c r="B28" s="87">
        <f t="shared" si="1"/>
        <v>17</v>
      </c>
      <c r="C28" s="435" t="s">
        <v>148</v>
      </c>
      <c r="D28" s="436"/>
      <c r="E28" s="18" t="s">
        <v>6</v>
      </c>
      <c r="F28" s="57">
        <v>3</v>
      </c>
      <c r="G28" s="419"/>
      <c r="H28" s="139">
        <f t="shared" si="0"/>
        <v>0</v>
      </c>
      <c r="J28" s="316"/>
      <c r="K28" s="329"/>
      <c r="L28" s="348"/>
      <c r="M28" s="345"/>
      <c r="N28" s="316"/>
      <c r="O28" s="352"/>
      <c r="Q28" s="341"/>
      <c r="R28" s="353"/>
      <c r="S28" s="145"/>
      <c r="T28" s="145"/>
      <c r="U28" s="145"/>
      <c r="V28" s="145"/>
      <c r="W28" s="49"/>
      <c r="X28" s="4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12.95" customHeight="1" x14ac:dyDescent="0.2">
      <c r="A29" s="39" t="s">
        <v>56</v>
      </c>
      <c r="B29" s="87">
        <f t="shared" si="1"/>
        <v>18</v>
      </c>
      <c r="C29" s="435" t="s">
        <v>149</v>
      </c>
      <c r="D29" s="436"/>
      <c r="E29" s="18" t="s">
        <v>6</v>
      </c>
      <c r="F29" s="57">
        <v>2</v>
      </c>
      <c r="G29" s="419"/>
      <c r="H29" s="139">
        <f t="shared" si="0"/>
        <v>0</v>
      </c>
      <c r="J29" s="311"/>
      <c r="K29" s="329"/>
      <c r="L29" s="348"/>
      <c r="M29" s="345"/>
      <c r="N29" s="316"/>
      <c r="O29" s="352"/>
      <c r="Q29" s="341"/>
      <c r="R29" s="353"/>
      <c r="S29" s="145"/>
      <c r="T29" s="145"/>
      <c r="U29" s="145"/>
      <c r="V29" s="145"/>
      <c r="W29" s="49"/>
      <c r="X29" s="4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2.95" customHeight="1" x14ac:dyDescent="0.2">
      <c r="A30" s="39" t="s">
        <v>121</v>
      </c>
      <c r="B30" s="87">
        <f t="shared" si="1"/>
        <v>19</v>
      </c>
      <c r="C30" s="435" t="s">
        <v>150</v>
      </c>
      <c r="D30" s="458"/>
      <c r="E30" s="18" t="s">
        <v>6</v>
      </c>
      <c r="F30" s="95">
        <v>1</v>
      </c>
      <c r="G30" s="419"/>
      <c r="H30" s="139">
        <f>F30*G30</f>
        <v>0</v>
      </c>
      <c r="K30" s="341"/>
      <c r="L30" s="348"/>
      <c r="M30" s="345"/>
      <c r="N30" s="316"/>
      <c r="O30" s="352"/>
      <c r="Q30" s="341"/>
      <c r="R30" s="341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2.95" customHeight="1" x14ac:dyDescent="0.2">
      <c r="A31" s="39" t="s">
        <v>57</v>
      </c>
      <c r="B31" s="87">
        <f t="shared" si="1"/>
        <v>20</v>
      </c>
      <c r="C31" s="445" t="s">
        <v>151</v>
      </c>
      <c r="D31" s="446"/>
      <c r="E31" s="18" t="s">
        <v>5</v>
      </c>
      <c r="F31" s="57">
        <v>5</v>
      </c>
      <c r="G31" s="419"/>
      <c r="H31" s="139">
        <f t="shared" si="0"/>
        <v>0</v>
      </c>
      <c r="J31" s="311"/>
      <c r="K31" s="341"/>
      <c r="L31" s="341"/>
      <c r="Q31" s="341"/>
      <c r="R31" s="341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2.95" customHeight="1" x14ac:dyDescent="0.25">
      <c r="A32" s="39" t="s">
        <v>63</v>
      </c>
      <c r="B32" s="87">
        <f t="shared" si="1"/>
        <v>21</v>
      </c>
      <c r="C32" s="435" t="s">
        <v>157</v>
      </c>
      <c r="D32" s="436"/>
      <c r="E32" s="18" t="s">
        <v>5</v>
      </c>
      <c r="F32" s="97">
        <v>10</v>
      </c>
      <c r="G32" s="419"/>
      <c r="H32" s="139">
        <f>F32*G32</f>
        <v>0</v>
      </c>
      <c r="J32" s="325"/>
      <c r="K32" s="341"/>
      <c r="L32" s="316"/>
      <c r="M32" s="316"/>
      <c r="N32" s="352"/>
      <c r="Q32" s="354"/>
      <c r="R32" s="355"/>
      <c r="S32" s="143"/>
      <c r="T32" s="144"/>
      <c r="U32" s="143"/>
      <c r="V32" s="53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12.95" customHeight="1" x14ac:dyDescent="0.2">
      <c r="A33" s="39" t="s">
        <v>58</v>
      </c>
      <c r="B33" s="87">
        <f>B32+1</f>
        <v>22</v>
      </c>
      <c r="C33" s="445" t="s">
        <v>198</v>
      </c>
      <c r="D33" s="446"/>
      <c r="E33" s="165"/>
      <c r="F33" s="166"/>
      <c r="G33" s="167"/>
      <c r="H33" s="170"/>
      <c r="J33" s="347"/>
      <c r="K33" s="329"/>
      <c r="L33" s="316"/>
      <c r="M33" s="356" t="s">
        <v>250</v>
      </c>
      <c r="N33" s="349" t="s">
        <v>251</v>
      </c>
      <c r="O33" s="352"/>
      <c r="Q33" s="341"/>
      <c r="R33" s="316"/>
      <c r="S33" s="196"/>
      <c r="T33" s="196"/>
      <c r="U33" s="196"/>
      <c r="V33" s="196"/>
      <c r="W33" s="53"/>
      <c r="X33" s="53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12.95" customHeight="1" x14ac:dyDescent="0.2">
      <c r="B34" s="164">
        <f>B33+0.1</f>
        <v>22.1</v>
      </c>
      <c r="C34" s="285" t="s">
        <v>143</v>
      </c>
      <c r="D34" s="286"/>
      <c r="E34" s="18" t="s">
        <v>6</v>
      </c>
      <c r="F34" s="57">
        <v>2</v>
      </c>
      <c r="G34" s="419"/>
      <c r="H34" s="153">
        <f t="shared" si="0"/>
        <v>0</v>
      </c>
      <c r="J34" s="332"/>
      <c r="K34" s="329"/>
      <c r="L34" s="316"/>
      <c r="M34" s="357">
        <v>0</v>
      </c>
      <c r="N34" s="357">
        <v>2</v>
      </c>
      <c r="O34" s="352"/>
      <c r="Q34" s="341"/>
      <c r="R34" s="316"/>
      <c r="S34" s="145"/>
      <c r="T34" s="145"/>
      <c r="U34" s="145"/>
      <c r="V34" s="145"/>
      <c r="W34" s="145"/>
      <c r="X34" s="145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12.95" customHeight="1" x14ac:dyDescent="0.2">
      <c r="B35" s="164">
        <f t="shared" ref="B35:B38" si="2">B34+0.1</f>
        <v>22.200000000000003</v>
      </c>
      <c r="C35" s="302" t="s">
        <v>223</v>
      </c>
      <c r="D35" s="303"/>
      <c r="E35" s="165"/>
      <c r="F35" s="165"/>
      <c r="G35" s="167"/>
      <c r="H35" s="171"/>
      <c r="J35" s="332"/>
      <c r="K35" s="329"/>
      <c r="L35" s="316"/>
      <c r="M35" s="357">
        <v>1</v>
      </c>
      <c r="N35" s="357">
        <v>0</v>
      </c>
      <c r="O35" s="352"/>
      <c r="Q35" s="341"/>
      <c r="R35" s="353"/>
      <c r="S35" s="145"/>
      <c r="T35" s="145"/>
      <c r="U35" s="145"/>
      <c r="V35" s="145"/>
      <c r="W35" s="145"/>
      <c r="X35" s="145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12.95" customHeight="1" x14ac:dyDescent="0.2">
      <c r="B36" s="164">
        <f t="shared" si="2"/>
        <v>22.300000000000004</v>
      </c>
      <c r="C36" s="285" t="s">
        <v>144</v>
      </c>
      <c r="D36" s="286"/>
      <c r="E36" s="18" t="s">
        <v>6</v>
      </c>
      <c r="F36" s="57">
        <v>1</v>
      </c>
      <c r="G36" s="419"/>
      <c r="H36" s="153">
        <f t="shared" si="0"/>
        <v>0</v>
      </c>
      <c r="J36" s="316"/>
      <c r="K36" s="329"/>
      <c r="L36" s="316"/>
      <c r="M36" s="357">
        <v>2</v>
      </c>
      <c r="N36" s="357">
        <v>1</v>
      </c>
      <c r="O36" s="352"/>
      <c r="Q36" s="341"/>
      <c r="R36" s="353"/>
      <c r="S36" s="145"/>
      <c r="T36" s="145"/>
      <c r="U36" s="145"/>
      <c r="V36" s="145"/>
      <c r="W36" s="145"/>
      <c r="X36" s="145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12.95" customHeight="1" x14ac:dyDescent="0.2">
      <c r="B37" s="164">
        <f t="shared" si="2"/>
        <v>22.400000000000006</v>
      </c>
      <c r="C37" s="285" t="s">
        <v>145</v>
      </c>
      <c r="D37" s="286"/>
      <c r="E37" s="18" t="s">
        <v>6</v>
      </c>
      <c r="F37" s="57">
        <v>1</v>
      </c>
      <c r="G37" s="419"/>
      <c r="H37" s="153">
        <f t="shared" si="0"/>
        <v>0</v>
      </c>
      <c r="J37" s="311"/>
      <c r="K37" s="329"/>
      <c r="L37" s="316"/>
      <c r="M37" s="357">
        <v>0</v>
      </c>
      <c r="N37" s="357">
        <v>1</v>
      </c>
      <c r="O37" s="352"/>
      <c r="Q37" s="341"/>
      <c r="R37" s="353"/>
      <c r="S37" s="145"/>
      <c r="T37" s="145"/>
      <c r="U37" s="145"/>
      <c r="V37" s="145"/>
      <c r="W37" s="145"/>
      <c r="X37" s="145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12.95" customHeight="1" x14ac:dyDescent="0.2">
      <c r="B38" s="164">
        <f t="shared" si="2"/>
        <v>22.500000000000007</v>
      </c>
      <c r="C38" s="302" t="s">
        <v>223</v>
      </c>
      <c r="D38" s="303"/>
      <c r="E38" s="165"/>
      <c r="F38" s="165"/>
      <c r="G38" s="167"/>
      <c r="H38" s="171"/>
      <c r="J38" s="311"/>
      <c r="K38" s="329"/>
      <c r="L38" s="316"/>
      <c r="M38" s="345"/>
      <c r="N38" s="358"/>
      <c r="Q38" s="341"/>
      <c r="R38" s="353"/>
      <c r="S38" s="145"/>
      <c r="T38" s="145"/>
      <c r="U38" s="145"/>
      <c r="V38" s="145"/>
      <c r="W38" s="145"/>
      <c r="X38" s="145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12.95" customHeight="1" x14ac:dyDescent="0.2">
      <c r="A39" s="39" t="s">
        <v>59</v>
      </c>
      <c r="B39" s="87">
        <f>B33+1</f>
        <v>23</v>
      </c>
      <c r="C39" s="445" t="s">
        <v>147</v>
      </c>
      <c r="D39" s="446"/>
      <c r="E39" s="18" t="s">
        <v>6</v>
      </c>
      <c r="F39" s="95">
        <v>1</v>
      </c>
      <c r="G39" s="419"/>
      <c r="H39" s="139">
        <f t="shared" si="0"/>
        <v>0</v>
      </c>
      <c r="J39" s="325"/>
      <c r="N39" s="316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12.95" customHeight="1" x14ac:dyDescent="0.2">
      <c r="A40" s="39" t="s">
        <v>60</v>
      </c>
      <c r="B40" s="87">
        <f t="shared" si="1"/>
        <v>24</v>
      </c>
      <c r="C40" s="435" t="s">
        <v>201</v>
      </c>
      <c r="D40" s="436"/>
      <c r="E40" s="18" t="s">
        <v>6</v>
      </c>
      <c r="F40" s="95">
        <v>1</v>
      </c>
      <c r="G40" s="419"/>
      <c r="H40" s="139">
        <f t="shared" si="0"/>
        <v>0</v>
      </c>
      <c r="J40" s="311"/>
      <c r="K40" s="341"/>
      <c r="L40" s="316"/>
      <c r="M40" s="316"/>
      <c r="N40" s="352"/>
      <c r="Y40" s="59"/>
      <c r="Z40" s="59"/>
      <c r="AA40" s="59"/>
      <c r="AB40" s="59"/>
      <c r="AC40" s="59"/>
      <c r="AD40" s="59"/>
      <c r="AE40" s="59"/>
      <c r="AF40" s="59"/>
      <c r="AG40" s="59"/>
    </row>
    <row r="41" spans="1:33" ht="12.95" customHeight="1" x14ac:dyDescent="0.2">
      <c r="A41" s="39" t="s">
        <v>61</v>
      </c>
      <c r="B41" s="87">
        <f t="shared" si="1"/>
        <v>25</v>
      </c>
      <c r="C41" s="435" t="s">
        <v>113</v>
      </c>
      <c r="D41" s="436"/>
      <c r="E41" s="18" t="s">
        <v>6</v>
      </c>
      <c r="F41" s="95">
        <v>3</v>
      </c>
      <c r="G41" s="419"/>
      <c r="H41" s="139">
        <f t="shared" si="0"/>
        <v>0</v>
      </c>
      <c r="J41" s="347"/>
      <c r="L41" s="311"/>
      <c r="M41" s="345"/>
      <c r="N41" s="316"/>
      <c r="O41" s="352"/>
      <c r="Y41" s="59"/>
      <c r="Z41" s="59"/>
      <c r="AA41" s="59"/>
      <c r="AB41" s="59"/>
      <c r="AC41" s="59"/>
      <c r="AD41" s="59"/>
      <c r="AE41" s="59"/>
      <c r="AF41" s="59"/>
      <c r="AG41" s="59"/>
    </row>
    <row r="42" spans="1:33" ht="12.95" customHeight="1" x14ac:dyDescent="0.2">
      <c r="B42" s="87">
        <f t="shared" si="1"/>
        <v>26</v>
      </c>
      <c r="C42" s="238" t="s">
        <v>226</v>
      </c>
      <c r="D42" s="240"/>
      <c r="E42" s="231" t="s">
        <v>6</v>
      </c>
      <c r="F42" s="95">
        <v>1</v>
      </c>
      <c r="G42" s="419"/>
      <c r="H42" s="139">
        <f t="shared" ref="H42" si="3">F42*G42</f>
        <v>0</v>
      </c>
      <c r="J42" s="347"/>
      <c r="K42" s="329"/>
      <c r="L42" s="316"/>
      <c r="M42" s="345"/>
      <c r="N42" s="316"/>
      <c r="O42" s="352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x14ac:dyDescent="0.2">
      <c r="B43" s="87">
        <f>B42+1</f>
        <v>27</v>
      </c>
      <c r="C43" s="435" t="s">
        <v>70</v>
      </c>
      <c r="D43" s="436"/>
      <c r="E43" s="25" t="s">
        <v>6</v>
      </c>
      <c r="F43" s="95">
        <f>IF(A92="Yes",1,0)</f>
        <v>1</v>
      </c>
      <c r="G43" s="419"/>
      <c r="H43" s="139">
        <f t="shared" si="0"/>
        <v>0</v>
      </c>
      <c r="J43" s="332"/>
      <c r="K43" s="329"/>
      <c r="L43" s="316"/>
      <c r="M43" s="345"/>
      <c r="N43" s="316"/>
      <c r="O43" s="352"/>
    </row>
    <row r="44" spans="1:33" x14ac:dyDescent="0.2">
      <c r="A44" s="39" t="s">
        <v>64</v>
      </c>
      <c r="B44" s="87">
        <f t="shared" si="1"/>
        <v>28</v>
      </c>
      <c r="C44" s="435" t="s">
        <v>122</v>
      </c>
      <c r="D44" s="436"/>
      <c r="E44" s="18" t="s">
        <v>6</v>
      </c>
      <c r="F44" s="95">
        <v>1</v>
      </c>
      <c r="G44" s="419"/>
      <c r="H44" s="139">
        <f t="shared" si="0"/>
        <v>0</v>
      </c>
      <c r="J44" s="332"/>
      <c r="K44" s="329"/>
      <c r="L44" s="316"/>
      <c r="M44" s="345"/>
      <c r="N44" s="316"/>
      <c r="O44" s="352"/>
    </row>
    <row r="45" spans="1:33" x14ac:dyDescent="0.2">
      <c r="A45" s="39" t="s">
        <v>65</v>
      </c>
      <c r="B45" s="87">
        <f t="shared" si="1"/>
        <v>29</v>
      </c>
      <c r="C45" s="435" t="s">
        <v>11</v>
      </c>
      <c r="D45" s="436"/>
      <c r="E45" s="18" t="s">
        <v>35</v>
      </c>
      <c r="F45" s="95">
        <v>1</v>
      </c>
      <c r="G45" s="419"/>
      <c r="H45" s="139">
        <f t="shared" si="0"/>
        <v>0</v>
      </c>
      <c r="J45" s="316"/>
      <c r="K45" s="329"/>
      <c r="L45" s="316"/>
      <c r="M45" s="345"/>
      <c r="N45" s="316"/>
      <c r="O45" s="352"/>
    </row>
    <row r="46" spans="1:33" x14ac:dyDescent="0.2">
      <c r="A46" s="39" t="s">
        <v>66</v>
      </c>
      <c r="B46" s="87">
        <f t="shared" si="1"/>
        <v>30</v>
      </c>
      <c r="C46" s="435" t="s">
        <v>269</v>
      </c>
      <c r="D46" s="436"/>
      <c r="E46" s="18" t="s">
        <v>5</v>
      </c>
      <c r="F46" s="95">
        <v>10</v>
      </c>
      <c r="G46" s="419"/>
      <c r="H46" s="139">
        <f t="shared" ref="H46" si="4">F46*G46</f>
        <v>0</v>
      </c>
      <c r="J46" s="311"/>
      <c r="K46" s="329"/>
      <c r="L46" s="316"/>
      <c r="M46" s="345"/>
      <c r="N46" s="316"/>
    </row>
    <row r="47" spans="1:33" ht="12.95" customHeight="1" x14ac:dyDescent="0.2">
      <c r="B47" s="87">
        <f>B46+1</f>
        <v>31</v>
      </c>
      <c r="C47" s="481" t="s">
        <v>224</v>
      </c>
      <c r="D47" s="482"/>
      <c r="E47" s="18" t="s">
        <v>6</v>
      </c>
      <c r="F47" s="57">
        <v>1</v>
      </c>
      <c r="G47" s="419"/>
      <c r="H47" s="139">
        <f t="shared" si="0"/>
        <v>0</v>
      </c>
      <c r="N47" s="316"/>
      <c r="Y47" s="59"/>
      <c r="Z47" s="59"/>
      <c r="AA47" s="59"/>
      <c r="AB47" s="59"/>
      <c r="AC47" s="59"/>
      <c r="AD47" s="59"/>
      <c r="AE47" s="59"/>
      <c r="AF47" s="59"/>
      <c r="AG47" s="59"/>
    </row>
    <row r="48" spans="1:33" ht="12.95" customHeight="1" x14ac:dyDescent="0.2">
      <c r="B48" s="87">
        <f t="shared" si="1"/>
        <v>32</v>
      </c>
      <c r="C48" s="238" t="s">
        <v>225</v>
      </c>
      <c r="D48" s="291"/>
      <c r="E48" s="18" t="s">
        <v>6</v>
      </c>
      <c r="F48" s="57">
        <v>1</v>
      </c>
      <c r="G48" s="419"/>
      <c r="H48" s="139">
        <f t="shared" si="0"/>
        <v>0</v>
      </c>
      <c r="Q48" s="359"/>
      <c r="R48" s="320"/>
      <c r="S48" s="58"/>
      <c r="T48" s="59"/>
      <c r="U48" s="58"/>
      <c r="V48" s="72"/>
      <c r="W48" s="63"/>
      <c r="X48" s="63"/>
      <c r="Y48" s="59"/>
      <c r="Z48" s="59"/>
      <c r="AA48" s="59"/>
      <c r="AB48" s="59"/>
      <c r="AC48" s="59"/>
      <c r="AD48" s="59"/>
      <c r="AE48" s="59"/>
      <c r="AF48" s="59"/>
      <c r="AG48" s="59"/>
    </row>
    <row r="49" spans="1:33" ht="12.95" customHeight="1" x14ac:dyDescent="0.2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39">
        <f t="shared" si="0"/>
        <v>0</v>
      </c>
      <c r="Q49" s="359"/>
      <c r="R49" s="320"/>
      <c r="S49" s="58"/>
      <c r="T49" s="59"/>
      <c r="U49" s="58"/>
      <c r="V49" s="72"/>
      <c r="W49" s="63"/>
      <c r="X49" s="63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12.95" customHeight="1" x14ac:dyDescent="0.2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39">
        <f t="shared" si="0"/>
        <v>0</v>
      </c>
      <c r="J50" s="311"/>
      <c r="N50" s="316"/>
      <c r="O50" s="341"/>
      <c r="P50" s="316"/>
      <c r="Q50" s="359"/>
      <c r="R50" s="320"/>
      <c r="S50" s="58"/>
      <c r="T50" s="59"/>
      <c r="U50" s="58"/>
      <c r="V50" s="72"/>
      <c r="W50" s="63"/>
      <c r="X50" s="63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12.95" customHeight="1" x14ac:dyDescent="0.2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39">
        <f t="shared" si="0"/>
        <v>0</v>
      </c>
      <c r="J51" s="311"/>
      <c r="K51" s="360"/>
      <c r="L51" s="360"/>
      <c r="M51" s="361"/>
      <c r="N51" s="362"/>
      <c r="O51" s="341"/>
      <c r="P51" s="316"/>
      <c r="Q51" s="359"/>
      <c r="R51" s="320"/>
      <c r="S51" s="58"/>
      <c r="T51" s="59"/>
      <c r="U51" s="58"/>
      <c r="V51" s="72"/>
      <c r="W51" s="63"/>
      <c r="X51" s="63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12.95" customHeight="1" x14ac:dyDescent="0.2">
      <c r="B52" s="164">
        <f>B51+0.1</f>
        <v>35.1</v>
      </c>
      <c r="C52" s="212" t="s">
        <v>195</v>
      </c>
      <c r="D52" s="213"/>
      <c r="E52" s="210" t="s">
        <v>6</v>
      </c>
      <c r="F52" s="210">
        <v>1</v>
      </c>
      <c r="G52" s="422"/>
      <c r="H52" s="215">
        <f t="shared" si="0"/>
        <v>0</v>
      </c>
      <c r="J52" s="311"/>
      <c r="K52" s="360"/>
      <c r="L52" s="360"/>
      <c r="M52" s="361"/>
      <c r="N52" s="362"/>
      <c r="O52" s="341"/>
      <c r="P52" s="316"/>
      <c r="Q52" s="359"/>
      <c r="R52" s="320"/>
      <c r="S52" s="58"/>
      <c r="T52" s="59"/>
      <c r="U52" s="58"/>
      <c r="V52" s="72"/>
      <c r="W52" s="63"/>
      <c r="X52" s="63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12.95" customHeight="1" x14ac:dyDescent="0.2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39">
        <f t="shared" si="0"/>
        <v>0</v>
      </c>
      <c r="K53" s="363"/>
      <c r="L53" s="363"/>
      <c r="M53" s="361"/>
      <c r="N53" s="362"/>
      <c r="O53" s="341"/>
      <c r="P53" s="316"/>
      <c r="Q53" s="359"/>
      <c r="R53" s="320"/>
      <c r="S53" s="58"/>
      <c r="T53" s="59"/>
      <c r="U53" s="58"/>
      <c r="V53" s="72"/>
      <c r="W53" s="63"/>
      <c r="X53" s="63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12.95" customHeight="1" x14ac:dyDescent="0.2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39">
        <f t="shared" si="0"/>
        <v>0</v>
      </c>
      <c r="N54" s="316"/>
      <c r="O54" s="341"/>
      <c r="P54" s="316"/>
      <c r="Q54" s="359"/>
      <c r="R54" s="320"/>
      <c r="S54" s="58"/>
      <c r="T54" s="59"/>
      <c r="U54" s="58"/>
      <c r="V54" s="72"/>
      <c r="W54" s="63"/>
      <c r="X54" s="63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2.95" customHeight="1" x14ac:dyDescent="0.2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9">
        <f t="shared" si="0"/>
        <v>0</v>
      </c>
      <c r="N55" s="316"/>
      <c r="O55" s="341"/>
      <c r="P55" s="316"/>
      <c r="Q55" s="359"/>
      <c r="R55" s="320"/>
      <c r="S55" s="58"/>
      <c r="T55" s="59"/>
      <c r="U55" s="58"/>
      <c r="V55" s="72"/>
      <c r="W55" s="63"/>
      <c r="X55" s="63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12.95" customHeight="1" x14ac:dyDescent="0.2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39">
        <f t="shared" si="0"/>
        <v>0</v>
      </c>
      <c r="N56" s="316"/>
      <c r="O56" s="341"/>
      <c r="P56" s="316"/>
      <c r="Q56" s="359"/>
      <c r="R56" s="320"/>
      <c r="S56" s="58"/>
      <c r="T56" s="59"/>
      <c r="U56" s="58"/>
      <c r="V56" s="72"/>
      <c r="W56" s="63"/>
      <c r="X56" s="63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2.95" customHeight="1" x14ac:dyDescent="0.2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39">
        <f t="shared" si="0"/>
        <v>0</v>
      </c>
      <c r="N57" s="316"/>
      <c r="O57" s="341"/>
      <c r="P57" s="316"/>
      <c r="Q57" s="359"/>
      <c r="R57" s="320"/>
      <c r="S57" s="58"/>
      <c r="T57" s="59"/>
      <c r="U57" s="58"/>
      <c r="V57" s="72"/>
      <c r="W57" s="63"/>
      <c r="X57" s="63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2.95" customHeight="1" x14ac:dyDescent="0.2">
      <c r="B58" s="87">
        <f t="shared" si="1"/>
        <v>41</v>
      </c>
      <c r="C58" s="212" t="s">
        <v>260</v>
      </c>
      <c r="D58" s="213"/>
      <c r="E58" s="274" t="s">
        <v>35</v>
      </c>
      <c r="F58" s="210">
        <v>1</v>
      </c>
      <c r="G58" s="422"/>
      <c r="H58" s="215">
        <f t="shared" si="0"/>
        <v>0</v>
      </c>
      <c r="N58" s="316"/>
      <c r="O58" s="341"/>
      <c r="P58" s="316"/>
      <c r="Q58" s="359"/>
      <c r="R58" s="320"/>
      <c r="S58" s="58"/>
      <c r="T58" s="59"/>
      <c r="U58" s="58"/>
      <c r="V58" s="72"/>
      <c r="W58" s="63"/>
      <c r="X58" s="63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2.95" customHeight="1" x14ac:dyDescent="0.2">
      <c r="B59" s="87">
        <f t="shared" si="1"/>
        <v>42</v>
      </c>
      <c r="C59" s="287" t="s">
        <v>119</v>
      </c>
      <c r="D59" s="288"/>
      <c r="E59" s="99" t="s">
        <v>35</v>
      </c>
      <c r="F59" s="95">
        <v>1</v>
      </c>
      <c r="G59" s="421"/>
      <c r="H59" s="139">
        <f t="shared" si="0"/>
        <v>0</v>
      </c>
      <c r="N59" s="316"/>
      <c r="O59" s="341"/>
      <c r="P59" s="316"/>
      <c r="Q59" s="359"/>
      <c r="R59" s="320"/>
      <c r="S59" s="58"/>
      <c r="T59" s="59"/>
      <c r="U59" s="58"/>
      <c r="V59" s="72"/>
      <c r="W59" s="63"/>
      <c r="X59" s="63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2.95" customHeight="1" x14ac:dyDescent="0.2">
      <c r="B60" s="87">
        <f t="shared" si="1"/>
        <v>43</v>
      </c>
      <c r="C60" s="281" t="s">
        <v>100</v>
      </c>
      <c r="D60" s="282"/>
      <c r="E60" s="25" t="s">
        <v>73</v>
      </c>
      <c r="F60" s="95">
        <v>100</v>
      </c>
      <c r="G60" s="419"/>
      <c r="H60" s="139">
        <f t="shared" si="0"/>
        <v>0</v>
      </c>
      <c r="N60" s="316"/>
      <c r="O60" s="341"/>
      <c r="P60" s="316"/>
      <c r="Q60" s="359"/>
      <c r="R60" s="320"/>
      <c r="S60" s="58"/>
      <c r="T60" s="59"/>
      <c r="U60" s="58"/>
      <c r="V60" s="72"/>
      <c r="W60" s="63"/>
      <c r="X60" s="63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2.95" customHeight="1" x14ac:dyDescent="0.2">
      <c r="A61" s="39" t="s">
        <v>89</v>
      </c>
      <c r="B61" s="87">
        <f>B60+1</f>
        <v>44</v>
      </c>
      <c r="C61" s="281" t="s">
        <v>268</v>
      </c>
      <c r="D61" s="282"/>
      <c r="E61" s="25" t="s">
        <v>9</v>
      </c>
      <c r="F61" s="95">
        <v>250</v>
      </c>
      <c r="G61" s="419"/>
      <c r="H61" s="139">
        <f>F61*G61</f>
        <v>0</v>
      </c>
      <c r="N61" s="316"/>
      <c r="O61" s="341"/>
      <c r="P61" s="316"/>
      <c r="Q61" s="359"/>
      <c r="R61" s="320"/>
      <c r="S61" s="58"/>
      <c r="T61" s="59"/>
      <c r="U61" s="58"/>
      <c r="V61" s="72"/>
      <c r="W61" s="63"/>
      <c r="X61" s="63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2.95" customHeight="1" x14ac:dyDescent="0.2">
      <c r="A62" s="39" t="s">
        <v>90</v>
      </c>
      <c r="B62" s="87">
        <f>B61+1</f>
        <v>45</v>
      </c>
      <c r="C62" s="281" t="s">
        <v>103</v>
      </c>
      <c r="D62" s="282"/>
      <c r="E62" s="25" t="s">
        <v>73</v>
      </c>
      <c r="F62" s="95">
        <v>45</v>
      </c>
      <c r="G62" s="419"/>
      <c r="H62" s="139">
        <f>F62*G62</f>
        <v>0</v>
      </c>
      <c r="N62" s="316"/>
      <c r="O62" s="341"/>
      <c r="P62" s="316"/>
      <c r="Q62" s="359"/>
      <c r="R62" s="320"/>
      <c r="S62" s="58"/>
      <c r="T62" s="59"/>
      <c r="U62" s="58"/>
      <c r="V62" s="72"/>
      <c r="W62" s="63"/>
      <c r="X62" s="63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2.95" customHeight="1" x14ac:dyDescent="0.2">
      <c r="B63" s="87">
        <f t="shared" si="1"/>
        <v>46</v>
      </c>
      <c r="C63" s="150" t="s">
        <v>125</v>
      </c>
      <c r="D63" s="152"/>
      <c r="E63" s="21" t="s">
        <v>73</v>
      </c>
      <c r="F63" s="95">
        <v>20</v>
      </c>
      <c r="G63" s="423"/>
      <c r="H63" s="137">
        <f t="shared" ref="H63" si="5">F63*G63</f>
        <v>0</v>
      </c>
      <c r="N63" s="316"/>
      <c r="O63" s="341"/>
      <c r="P63" s="316"/>
      <c r="Q63" s="364"/>
      <c r="R63" s="320"/>
      <c r="S63" s="58"/>
      <c r="T63" s="59"/>
      <c r="U63" s="58"/>
      <c r="V63" s="75"/>
      <c r="W63" s="63"/>
      <c r="X63" s="63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2.95" customHeight="1" x14ac:dyDescent="0.2">
      <c r="A64" s="39" t="s">
        <v>156</v>
      </c>
      <c r="B64" s="87">
        <f>B63+1</f>
        <v>47</v>
      </c>
      <c r="C64" s="302" t="s">
        <v>223</v>
      </c>
      <c r="D64" s="303"/>
      <c r="E64" s="165"/>
      <c r="F64" s="165"/>
      <c r="G64" s="167"/>
      <c r="H64" s="171"/>
      <c r="K64" s="365"/>
      <c r="L64" s="365"/>
      <c r="M64" s="365"/>
      <c r="N64" s="365"/>
      <c r="O64" s="365"/>
      <c r="P64" s="364"/>
      <c r="Q64" s="364"/>
      <c r="R64" s="320"/>
      <c r="S64" s="58"/>
      <c r="T64" s="59"/>
      <c r="U64" s="58"/>
      <c r="V64" s="62"/>
      <c r="W64" s="63"/>
      <c r="X64" s="63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16" ht="12.95" customHeight="1" x14ac:dyDescent="0.2">
      <c r="B65" s="87">
        <f>B64+1</f>
        <v>48</v>
      </c>
      <c r="C65" s="302" t="s">
        <v>223</v>
      </c>
      <c r="D65" s="303"/>
      <c r="E65" s="165"/>
      <c r="F65" s="165"/>
      <c r="G65" s="167"/>
      <c r="H65" s="171"/>
    </row>
    <row r="66" spans="1:16" ht="12.95" customHeight="1" x14ac:dyDescent="0.2">
      <c r="B66" s="87">
        <f t="shared" ref="B66:B69" si="6">B65+1</f>
        <v>49</v>
      </c>
      <c r="C66" s="302" t="s">
        <v>223</v>
      </c>
      <c r="D66" s="303"/>
      <c r="E66" s="165"/>
      <c r="F66" s="165"/>
      <c r="G66" s="167"/>
      <c r="H66" s="171"/>
    </row>
    <row r="67" spans="1:16" ht="12.95" customHeight="1" x14ac:dyDescent="0.2">
      <c r="B67" s="87">
        <f t="shared" si="6"/>
        <v>50</v>
      </c>
      <c r="C67" s="302" t="s">
        <v>223</v>
      </c>
      <c r="D67" s="303"/>
      <c r="E67" s="165"/>
      <c r="F67" s="165"/>
      <c r="G67" s="167"/>
      <c r="H67" s="171"/>
    </row>
    <row r="68" spans="1:16" ht="12.95" customHeight="1" x14ac:dyDescent="0.2">
      <c r="B68" s="87">
        <f t="shared" si="6"/>
        <v>51</v>
      </c>
      <c r="C68" s="302" t="s">
        <v>223</v>
      </c>
      <c r="D68" s="303"/>
      <c r="E68" s="165"/>
      <c r="F68" s="165"/>
      <c r="G68" s="167"/>
      <c r="H68" s="171"/>
    </row>
    <row r="69" spans="1:16" ht="12.95" customHeight="1" x14ac:dyDescent="0.2">
      <c r="B69" s="87">
        <f t="shared" si="6"/>
        <v>52</v>
      </c>
      <c r="C69" s="302" t="s">
        <v>223</v>
      </c>
      <c r="D69" s="303"/>
      <c r="E69" s="165"/>
      <c r="F69" s="165"/>
      <c r="G69" s="167"/>
      <c r="H69" s="171"/>
    </row>
    <row r="70" spans="1:16" ht="12.95" customHeight="1" x14ac:dyDescent="0.2">
      <c r="B70" s="87" t="s">
        <v>261</v>
      </c>
      <c r="C70" s="371" t="s">
        <v>223</v>
      </c>
      <c r="D70" s="307"/>
      <c r="E70" s="308"/>
      <c r="F70" s="309"/>
      <c r="G70" s="310"/>
      <c r="H70" s="170"/>
    </row>
    <row r="71" spans="1:16" ht="12.95" customHeight="1" thickBot="1" x14ac:dyDescent="0.25">
      <c r="B71" s="87"/>
      <c r="C71" s="128"/>
      <c r="D71" s="129"/>
      <c r="E71" s="25"/>
      <c r="F71" s="301"/>
      <c r="G71" s="77"/>
      <c r="H71" s="138"/>
    </row>
    <row r="72" spans="1:16" ht="13.5" thickBot="1" x14ac:dyDescent="0.25">
      <c r="B72" s="100"/>
      <c r="C72" s="466" t="s">
        <v>133</v>
      </c>
      <c r="D72" s="467"/>
      <c r="E72" s="101"/>
      <c r="F72" s="102"/>
      <c r="G72" s="108"/>
      <c r="H72" s="136">
        <f>SUM(H9:H71)</f>
        <v>0</v>
      </c>
    </row>
    <row r="73" spans="1:16" x14ac:dyDescent="0.2">
      <c r="B73" s="120">
        <f>'Arnold Palmer Green 1 689'!B95</f>
        <v>63</v>
      </c>
      <c r="C73" s="468" t="s">
        <v>275</v>
      </c>
      <c r="D73" s="469"/>
      <c r="E73" s="103" t="s">
        <v>35</v>
      </c>
      <c r="F73" s="379">
        <v>1</v>
      </c>
      <c r="G73" s="424"/>
      <c r="H73" s="137">
        <f>SUM(F73*G73)</f>
        <v>0</v>
      </c>
      <c r="I73" s="366">
        <v>0.1</v>
      </c>
    </row>
    <row r="74" spans="1:16" ht="12.75" customHeight="1" x14ac:dyDescent="0.2">
      <c r="B74" s="87">
        <f>MAX(B10:B73)+1</f>
        <v>64</v>
      </c>
      <c r="C74" s="287" t="s">
        <v>276</v>
      </c>
      <c r="D74" s="288"/>
      <c r="E74" s="78" t="s">
        <v>35</v>
      </c>
      <c r="F74" s="380">
        <v>1</v>
      </c>
      <c r="G74" s="425"/>
      <c r="H74" s="137">
        <f>SUM(F74*G74)</f>
        <v>0</v>
      </c>
      <c r="I74" s="367">
        <v>0.01</v>
      </c>
    </row>
    <row r="75" spans="1:16" ht="12.75" customHeight="1" thickBot="1" x14ac:dyDescent="0.25">
      <c r="B75" s="87">
        <f>MAX(B11:B74)+1</f>
        <v>65</v>
      </c>
      <c r="C75" s="450" t="s">
        <v>78</v>
      </c>
      <c r="D75" s="451"/>
      <c r="E75" s="78"/>
      <c r="F75" s="201">
        <v>0.1</v>
      </c>
      <c r="G75" s="105"/>
      <c r="H75" s="138">
        <f>SUM(H72*F75)</f>
        <v>0</v>
      </c>
      <c r="I75" s="368"/>
    </row>
    <row r="76" spans="1:16" ht="33.75" customHeight="1" thickBot="1" x14ac:dyDescent="0.25">
      <c r="B76" s="100"/>
      <c r="C76" s="462" t="s">
        <v>286</v>
      </c>
      <c r="D76" s="463"/>
      <c r="E76" s="101"/>
      <c r="F76" s="102"/>
      <c r="G76" s="108"/>
      <c r="H76" s="136">
        <f>SUM(H72:H75)</f>
        <v>0</v>
      </c>
    </row>
    <row r="77" spans="1:16" ht="12.75" hidden="1" customHeight="1" x14ac:dyDescent="0.2">
      <c r="C77" s="39" t="s">
        <v>134</v>
      </c>
    </row>
    <row r="78" spans="1:16" ht="12.75" hidden="1" customHeight="1" x14ac:dyDescent="0.2">
      <c r="B78" s="109"/>
    </row>
    <row r="79" spans="1:16" ht="12.75" hidden="1" customHeight="1" x14ac:dyDescent="0.2">
      <c r="B79" s="109" t="s">
        <v>4</v>
      </c>
      <c r="C79" s="39" t="s">
        <v>30</v>
      </c>
    </row>
    <row r="80" spans="1:16" ht="12.75" hidden="1" customHeight="1" x14ac:dyDescent="0.25">
      <c r="A80" s="203" t="s">
        <v>158</v>
      </c>
      <c r="O80" s="327"/>
      <c r="P80" s="327"/>
    </row>
    <row r="81" spans="1:13" ht="12.75" hidden="1" customHeight="1" x14ac:dyDescent="0.25">
      <c r="B81" s="110"/>
      <c r="D81" s="40" t="s">
        <v>92</v>
      </c>
      <c r="E81" s="132">
        <v>413</v>
      </c>
      <c r="F81" s="45" t="s">
        <v>120</v>
      </c>
      <c r="G81" s="134">
        <v>32</v>
      </c>
      <c r="K81" s="327"/>
    </row>
    <row r="82" spans="1:13" ht="12.75" hidden="1" customHeight="1" x14ac:dyDescent="0.25">
      <c r="A82" s="39" t="s">
        <v>38</v>
      </c>
      <c r="B82" s="40"/>
      <c r="D82" s="40" t="s">
        <v>15</v>
      </c>
      <c r="E82" s="111">
        <v>22</v>
      </c>
      <c r="F82" s="42" t="s">
        <v>16</v>
      </c>
      <c r="G82" s="43" t="s">
        <v>17</v>
      </c>
      <c r="K82" s="327"/>
    </row>
    <row r="83" spans="1:13" ht="12.75" hidden="1" customHeight="1" x14ac:dyDescent="0.25">
      <c r="A83" s="115">
        <v>2</v>
      </c>
      <c r="B83" s="110"/>
      <c r="C83" s="110"/>
      <c r="D83" s="40" t="s">
        <v>18</v>
      </c>
      <c r="E83" s="112">
        <v>-1.84</v>
      </c>
      <c r="F83" s="42" t="s">
        <v>16</v>
      </c>
      <c r="G83" s="43">
        <f>(E82-E83)+E90</f>
        <v>23.84</v>
      </c>
      <c r="H83" s="39"/>
      <c r="K83" s="327"/>
    </row>
    <row r="84" spans="1:13" ht="12.75" hidden="1" customHeight="1" x14ac:dyDescent="0.25">
      <c r="A84" s="42"/>
      <c r="B84" s="110"/>
      <c r="C84" s="110"/>
      <c r="D84" s="40" t="s">
        <v>19</v>
      </c>
      <c r="E84" s="115">
        <v>6</v>
      </c>
      <c r="F84" s="39" t="s">
        <v>20</v>
      </c>
      <c r="K84" s="327"/>
    </row>
    <row r="85" spans="1:13" ht="12.75" hidden="1" customHeight="1" x14ac:dyDescent="0.2">
      <c r="A85" s="116" t="s">
        <v>39</v>
      </c>
      <c r="B85" s="110"/>
      <c r="C85" s="110"/>
      <c r="D85" s="40" t="s">
        <v>21</v>
      </c>
      <c r="E85" s="115">
        <v>10</v>
      </c>
      <c r="F85" s="39" t="s">
        <v>20</v>
      </c>
    </row>
    <row r="86" spans="1:13" ht="12.75" hidden="1" customHeight="1" x14ac:dyDescent="0.2">
      <c r="A86" s="115" t="s">
        <v>41</v>
      </c>
      <c r="B86" s="110"/>
      <c r="C86" s="110"/>
      <c r="D86" s="40" t="s">
        <v>22</v>
      </c>
      <c r="E86" s="115">
        <v>5</v>
      </c>
      <c r="F86" s="42" t="s">
        <v>20</v>
      </c>
    </row>
    <row r="87" spans="1:13" ht="12.75" hidden="1" customHeight="1" x14ac:dyDescent="0.2">
      <c r="A87" s="42"/>
      <c r="B87" s="110"/>
      <c r="C87" s="110"/>
      <c r="D87" s="40" t="s">
        <v>23</v>
      </c>
      <c r="E87" s="44">
        <f>ROUNDUP(E84^2*3.14/4,0)</f>
        <v>29</v>
      </c>
      <c r="F87" s="42" t="s">
        <v>24</v>
      </c>
    </row>
    <row r="88" spans="1:13" ht="12.75" hidden="1" customHeight="1" x14ac:dyDescent="0.2">
      <c r="A88" s="42" t="s">
        <v>68</v>
      </c>
      <c r="B88" s="39"/>
      <c r="D88" s="40" t="s">
        <v>25</v>
      </c>
      <c r="E88" s="44">
        <f>ROUNDUP(2*3.14*(E84/2)*((E84/2)+((E82-E83)+E90)),0)</f>
        <v>506</v>
      </c>
      <c r="F88" s="42" t="s">
        <v>24</v>
      </c>
    </row>
    <row r="89" spans="1:13" ht="12.75" hidden="1" customHeight="1" x14ac:dyDescent="0.25">
      <c r="A89" s="115" t="s">
        <v>41</v>
      </c>
      <c r="D89" s="40" t="s">
        <v>26</v>
      </c>
      <c r="E89" s="44">
        <f>E88-E87*2</f>
        <v>448</v>
      </c>
      <c r="F89" s="42" t="s">
        <v>24</v>
      </c>
      <c r="L89" s="327"/>
      <c r="M89" s="327"/>
    </row>
    <row r="90" spans="1:13" ht="12.75" hidden="1" customHeight="1" x14ac:dyDescent="0.2">
      <c r="A90" s="42"/>
      <c r="B90" s="39"/>
      <c r="D90" s="40" t="s">
        <v>152</v>
      </c>
      <c r="E90" s="111">
        <v>0</v>
      </c>
      <c r="F90" s="42" t="s">
        <v>20</v>
      </c>
    </row>
    <row r="91" spans="1:13" ht="12.75" hidden="1" customHeight="1" x14ac:dyDescent="0.2">
      <c r="A91" s="42" t="s">
        <v>71</v>
      </c>
      <c r="D91" s="40" t="s">
        <v>42</v>
      </c>
      <c r="E91" s="111">
        <v>0</v>
      </c>
      <c r="F91" s="42" t="s">
        <v>20</v>
      </c>
    </row>
    <row r="92" spans="1:13" ht="12.75" hidden="1" customHeight="1" x14ac:dyDescent="0.2">
      <c r="A92" s="115" t="s">
        <v>40</v>
      </c>
      <c r="D92" s="40" t="s">
        <v>43</v>
      </c>
      <c r="E92" s="111">
        <v>0</v>
      </c>
      <c r="F92" s="42" t="s">
        <v>20</v>
      </c>
    </row>
    <row r="93" spans="1:13" ht="12.75" hidden="1" customHeight="1" x14ac:dyDescent="0.2">
      <c r="A93" s="42"/>
    </row>
    <row r="94" spans="1:13" ht="12.75" hidden="1" customHeight="1" x14ac:dyDescent="0.2">
      <c r="A94" s="42" t="s">
        <v>91</v>
      </c>
    </row>
    <row r="95" spans="1:13" ht="12.75" hidden="1" customHeight="1" x14ac:dyDescent="0.25">
      <c r="A95" s="115" t="s">
        <v>40</v>
      </c>
      <c r="C95" s="89"/>
      <c r="D95" s="89"/>
      <c r="E95" s="113" t="s">
        <v>93</v>
      </c>
      <c r="F95" s="113" t="s">
        <v>94</v>
      </c>
      <c r="G95" s="114"/>
      <c r="H95" s="39"/>
      <c r="I95" s="304" t="s">
        <v>101</v>
      </c>
      <c r="J95" s="304" t="s">
        <v>95</v>
      </c>
      <c r="K95" s="304" t="s">
        <v>96</v>
      </c>
      <c r="L95" s="304" t="s">
        <v>102</v>
      </c>
    </row>
    <row r="96" spans="1:13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89"/>
      <c r="H96" s="39"/>
      <c r="I96" s="311">
        <v>2</v>
      </c>
      <c r="J96" s="369"/>
      <c r="K96" s="369"/>
      <c r="L96" s="370">
        <v>2.0470000000000002</v>
      </c>
    </row>
    <row r="97" spans="1:11" ht="12.75" hidden="1" customHeight="1" x14ac:dyDescent="0.25">
      <c r="C97" s="40">
        <f>VLOOKUP(J10,I98:K100,2)</f>
        <v>5.59</v>
      </c>
      <c r="D97" s="45">
        <f>E81</f>
        <v>413</v>
      </c>
      <c r="E97" s="41">
        <f>(D97/448.83)/((C97/12)^2*3.14/4)</f>
        <v>5.4017862316296066</v>
      </c>
      <c r="F97" s="41">
        <f>((D97/448.83)/((C97/12)^2*3.14/4))*1.5</f>
        <v>8.1026793474444094</v>
      </c>
      <c r="G97" s="89"/>
      <c r="H97" s="39"/>
      <c r="I97" s="311">
        <v>4</v>
      </c>
      <c r="J97" s="370">
        <v>3.89</v>
      </c>
      <c r="K97" s="370">
        <v>4.2699999999999996</v>
      </c>
    </row>
    <row r="98" spans="1:11" ht="12.75" hidden="1" customHeight="1" x14ac:dyDescent="0.25">
      <c r="A98" s="39" t="s">
        <v>40</v>
      </c>
      <c r="C98" s="89"/>
      <c r="D98" s="89"/>
      <c r="E98" s="177" t="str">
        <f xml:space="preserve"> IF(E97&gt;=8,"Upsize","Keep Size")</f>
        <v>Keep Size</v>
      </c>
      <c r="F98" s="89"/>
      <c r="G98" s="89"/>
      <c r="H98" s="39"/>
      <c r="I98" s="311">
        <v>6</v>
      </c>
      <c r="J98" s="370">
        <v>5.59</v>
      </c>
      <c r="K98" s="370">
        <v>6.13</v>
      </c>
    </row>
    <row r="99" spans="1:11" ht="12.75" hidden="1" customHeight="1" x14ac:dyDescent="0.2">
      <c r="A99" s="39" t="s">
        <v>41</v>
      </c>
      <c r="E99" s="39"/>
      <c r="F99" s="39"/>
      <c r="G99" s="39"/>
      <c r="H99" s="39"/>
      <c r="I99" s="311">
        <v>8</v>
      </c>
      <c r="J99" s="370">
        <v>7.34</v>
      </c>
      <c r="K99" s="370">
        <v>8.0399999999999991</v>
      </c>
    </row>
    <row r="100" spans="1:11" ht="12.75" hidden="1" customHeight="1" x14ac:dyDescent="0.2">
      <c r="E100" s="45" t="s">
        <v>160</v>
      </c>
      <c r="F100" s="39"/>
      <c r="G100" s="39"/>
      <c r="H100" s="39"/>
      <c r="I100" s="311">
        <v>10</v>
      </c>
      <c r="J100" s="370">
        <v>8.9600000000000009</v>
      </c>
    </row>
    <row r="101" spans="1:11" ht="12.75" hidden="1" customHeight="1" x14ac:dyDescent="0.2">
      <c r="E101" s="39"/>
      <c r="F101" s="39"/>
      <c r="G101" s="39"/>
      <c r="H101" s="39"/>
      <c r="I101" s="311">
        <v>12</v>
      </c>
      <c r="J101" s="370">
        <v>10.66</v>
      </c>
    </row>
    <row r="102" spans="1:11" ht="12.75" hidden="1" customHeight="1" x14ac:dyDescent="0.2">
      <c r="G102" s="39"/>
      <c r="H102" s="39"/>
    </row>
    <row r="103" spans="1:11" ht="12.75" hidden="1" customHeight="1" x14ac:dyDescent="0.2"/>
    <row r="104" spans="1:11" ht="12.75" hidden="1" customHeight="1" x14ac:dyDescent="0.2"/>
    <row r="105" spans="1:11" ht="12.75" customHeight="1" x14ac:dyDescent="0.2"/>
  </sheetData>
  <sheetProtection algorithmName="SHA-512" hashValue="K1LLgZHCioKZbvyxnXNgpmY9fB6lw06FtDZ2oyT9P7iHhglyUrU3UPMdsCR4WmAa86ofPT9YNrIwFENrBMJk1Q==" saltValue="vqj19vNHGv1KR9lCbzSreQ==" spinCount="100000" sheet="1" objects="1" scenarios="1" selectLockedCells="1"/>
  <mergeCells count="35">
    <mergeCell ref="B1:C1"/>
    <mergeCell ref="B2:C2"/>
    <mergeCell ref="B3:E3"/>
    <mergeCell ref="B4:C4"/>
    <mergeCell ref="B5:H5"/>
    <mergeCell ref="C76:D76"/>
    <mergeCell ref="C45:D45"/>
    <mergeCell ref="C46:D46"/>
    <mergeCell ref="C47:D47"/>
    <mergeCell ref="C72:D72"/>
    <mergeCell ref="C73:D73"/>
    <mergeCell ref="C75:D75"/>
    <mergeCell ref="C32:D32"/>
    <mergeCell ref="C43:D43"/>
    <mergeCell ref="C44:D44"/>
    <mergeCell ref="C33:D33"/>
    <mergeCell ref="C39:D39"/>
    <mergeCell ref="C40:D40"/>
    <mergeCell ref="C41:D41"/>
    <mergeCell ref="B7:H7"/>
    <mergeCell ref="C8:D8"/>
    <mergeCell ref="C25:D25"/>
    <mergeCell ref="C10:D10"/>
    <mergeCell ref="C11:D11"/>
    <mergeCell ref="C12:D12"/>
    <mergeCell ref="C13:D13"/>
    <mergeCell ref="C19:D19"/>
    <mergeCell ref="C17:D17"/>
    <mergeCell ref="C16:D16"/>
    <mergeCell ref="C20:D20"/>
    <mergeCell ref="C28:D28"/>
    <mergeCell ref="C29:D29"/>
    <mergeCell ref="C31:D31"/>
    <mergeCell ref="C30:D30"/>
    <mergeCell ref="C9:D9"/>
  </mergeCells>
  <dataValidations disablePrompts="1" count="4">
    <dataValidation type="list" allowBlank="1" showInputMessage="1" showErrorMessage="1" sqref="J39 J32" xr:uid="{00000000-0002-0000-0200-000001000000}">
      <formula1>$R$25:$R$29</formula1>
    </dataValidation>
    <dataValidation type="list" allowBlank="1" showInputMessage="1" showErrorMessage="1" sqref="J10" xr:uid="{CA0C93BB-920B-4730-AFCD-AB17868112A5}">
      <formula1>$I$96:$I$99</formula1>
    </dataValidation>
    <dataValidation type="list" allowBlank="1" showInputMessage="1" showErrorMessage="1" sqref="A86 A95 A92 A89" xr:uid="{00000000-0002-0000-0200-000002000000}">
      <formula1>$A$98:$A$99</formula1>
    </dataValidation>
    <dataValidation type="list" allowBlank="1" showInputMessage="1" showErrorMessage="1" sqref="J12" xr:uid="{00000000-0002-0000-02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>&amp;L&amp;"Times New Roman,Regular"&amp;8Bidder:________________________
Signature:______________________&amp;C&amp;"Times New Roman,Regular"&amp;10Page &amp;P of &amp;N&amp;R&amp;"Times New Roman,Regular"&amp;8Appendix 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G105"/>
  <sheetViews>
    <sheetView topLeftCell="B1" zoomScaleNormal="100" zoomScaleSheetLayoutView="100" workbookViewId="0">
      <selection activeCell="G10" sqref="G10"/>
    </sheetView>
  </sheetViews>
  <sheetFormatPr defaultRowHeight="12.75" x14ac:dyDescent="0.2"/>
  <cols>
    <col min="1" max="1" width="0" style="39" hidden="1" customWidth="1"/>
    <col min="2" max="2" width="6.77734375" style="45" customWidth="1"/>
    <col min="3" max="3" width="29.77734375" style="39" customWidth="1"/>
    <col min="4" max="4" width="11.77734375" style="39" customWidth="1"/>
    <col min="5" max="5" width="6.77734375" style="45" customWidth="1"/>
    <col min="6" max="6" width="6.77734375" style="46" customWidth="1"/>
    <col min="7" max="7" width="9.77734375" style="42" customWidth="1"/>
    <col min="8" max="8" width="13.77734375" style="42" customWidth="1"/>
    <col min="9" max="9" width="3.77734375" style="39" hidden="1" customWidth="1"/>
    <col min="10" max="10" width="5.77734375" style="39" hidden="1" customWidth="1"/>
    <col min="11" max="19" width="6.77734375" style="39" hidden="1" customWidth="1"/>
    <col min="20" max="20" width="8.21875" style="39" hidden="1" customWidth="1"/>
    <col min="21" max="23" width="8.21875" style="39" customWidth="1"/>
    <col min="24" max="16384" width="8.88671875" style="39"/>
  </cols>
  <sheetData>
    <row r="1" spans="1:33" ht="20.100000000000001" customHeight="1" x14ac:dyDescent="0.25">
      <c r="B1" s="460" t="s">
        <v>271</v>
      </c>
      <c r="C1" s="460"/>
      <c r="D1" s="1"/>
      <c r="E1" s="2"/>
      <c r="F1" s="42"/>
      <c r="H1" s="39"/>
      <c r="M1" s="45"/>
      <c r="N1" s="79"/>
      <c r="O1" s="80"/>
      <c r="P1" s="46"/>
      <c r="Q1" s="42"/>
      <c r="R1" s="58"/>
      <c r="S1" s="60"/>
      <c r="T1" s="61"/>
      <c r="U1" s="62"/>
      <c r="V1" s="63"/>
      <c r="W1" s="63"/>
      <c r="X1" s="59"/>
      <c r="Y1" s="59"/>
      <c r="Z1" s="59"/>
      <c r="AA1" s="59"/>
      <c r="AB1" s="59"/>
      <c r="AC1" s="59"/>
      <c r="AD1" s="59"/>
      <c r="AE1" s="59"/>
      <c r="AF1" s="59"/>
    </row>
    <row r="2" spans="1:33" ht="20.100000000000001" customHeight="1" x14ac:dyDescent="0.25">
      <c r="B2" s="460" t="s">
        <v>272</v>
      </c>
      <c r="C2" s="460"/>
      <c r="D2" s="1"/>
      <c r="E2" s="2"/>
      <c r="F2" s="42"/>
      <c r="H2" s="39"/>
      <c r="M2" s="45"/>
      <c r="N2" s="79"/>
      <c r="O2" s="80"/>
      <c r="P2" s="46"/>
      <c r="Q2" s="42"/>
      <c r="R2" s="58"/>
      <c r="S2" s="60"/>
      <c r="T2" s="61"/>
      <c r="U2" s="62"/>
      <c r="V2" s="63"/>
      <c r="W2" s="63"/>
      <c r="X2" s="59"/>
      <c r="Y2" s="59"/>
      <c r="Z2" s="59"/>
      <c r="AA2" s="59"/>
      <c r="AB2" s="59"/>
      <c r="AC2" s="59"/>
      <c r="AD2" s="59"/>
      <c r="AE2" s="59"/>
      <c r="AF2" s="59"/>
    </row>
    <row r="3" spans="1:33" ht="20.100000000000001" customHeight="1" x14ac:dyDescent="0.25">
      <c r="B3" s="460" t="s">
        <v>274</v>
      </c>
      <c r="C3" s="460"/>
      <c r="D3" s="460"/>
      <c r="E3" s="460"/>
      <c r="F3" s="42"/>
      <c r="H3" s="39"/>
      <c r="M3" s="45"/>
      <c r="N3" s="79"/>
      <c r="O3" s="80"/>
      <c r="P3" s="46"/>
      <c r="Q3" s="42"/>
      <c r="R3" s="58"/>
      <c r="S3" s="60"/>
      <c r="T3" s="61"/>
      <c r="U3" s="62"/>
      <c r="V3" s="63"/>
      <c r="W3" s="63"/>
      <c r="X3" s="59"/>
      <c r="Y3" s="59"/>
      <c r="Z3" s="59"/>
      <c r="AA3" s="59"/>
      <c r="AB3" s="59"/>
      <c r="AC3" s="59"/>
      <c r="AD3" s="59"/>
      <c r="AE3" s="59"/>
      <c r="AF3" s="59"/>
    </row>
    <row r="4" spans="1:33" ht="20.100000000000001" customHeight="1" x14ac:dyDescent="0.25">
      <c r="B4" s="461" t="s">
        <v>273</v>
      </c>
      <c r="C4" s="461"/>
      <c r="D4" s="2"/>
      <c r="E4" s="4"/>
      <c r="F4" s="42"/>
      <c r="H4" s="39"/>
      <c r="M4" s="45"/>
      <c r="N4" s="79"/>
      <c r="O4" s="80"/>
      <c r="P4" s="46"/>
      <c r="Q4" s="42"/>
      <c r="R4" s="58"/>
      <c r="S4" s="60"/>
      <c r="T4" s="61"/>
      <c r="U4" s="62"/>
      <c r="V4" s="63"/>
      <c r="W4" s="63"/>
      <c r="X4" s="59"/>
      <c r="Y4" s="59"/>
      <c r="Z4" s="59"/>
      <c r="AA4" s="59"/>
      <c r="AB4" s="59"/>
      <c r="AC4" s="59"/>
      <c r="AD4" s="59"/>
      <c r="AE4" s="59"/>
      <c r="AF4" s="59"/>
    </row>
    <row r="5" spans="1:33" ht="20.100000000000001" customHeight="1" x14ac:dyDescent="0.2">
      <c r="B5" s="477" t="s">
        <v>284</v>
      </c>
      <c r="C5" s="477"/>
      <c r="D5" s="477"/>
      <c r="E5" s="477"/>
      <c r="F5" s="477"/>
      <c r="G5" s="477"/>
      <c r="H5" s="477"/>
      <c r="M5" s="45"/>
      <c r="N5" s="79"/>
      <c r="O5" s="80"/>
      <c r="P5" s="46"/>
      <c r="Q5" s="42"/>
      <c r="R5" s="58"/>
      <c r="S5" s="60"/>
      <c r="T5" s="61"/>
      <c r="U5" s="62"/>
      <c r="V5" s="63"/>
      <c r="W5" s="63"/>
      <c r="X5" s="59"/>
      <c r="Y5" s="59"/>
      <c r="Z5" s="59"/>
      <c r="AA5" s="59"/>
      <c r="AB5" s="59"/>
      <c r="AC5" s="59"/>
      <c r="AD5" s="59"/>
      <c r="AE5" s="59"/>
      <c r="AF5" s="59"/>
    </row>
    <row r="6" spans="1:33" ht="12.95" customHeight="1" thickBot="1" x14ac:dyDescent="0.25">
      <c r="B6" s="79"/>
      <c r="C6" s="79"/>
      <c r="D6" s="80"/>
      <c r="E6" s="46"/>
      <c r="F6" s="42"/>
      <c r="H6" s="39"/>
      <c r="M6" s="58"/>
      <c r="N6" s="60"/>
      <c r="O6" s="61"/>
      <c r="P6" s="62"/>
      <c r="Q6" s="63"/>
      <c r="R6" s="58"/>
      <c r="S6" s="60"/>
      <c r="T6" s="61"/>
      <c r="U6" s="62"/>
      <c r="V6" s="63"/>
      <c r="W6" s="63"/>
      <c r="X6" s="59"/>
      <c r="Y6" s="59"/>
      <c r="Z6" s="59"/>
      <c r="AA6" s="59"/>
      <c r="AB6" s="59"/>
      <c r="AC6" s="59"/>
      <c r="AD6" s="59"/>
      <c r="AE6" s="59"/>
      <c r="AF6" s="59"/>
    </row>
    <row r="7" spans="1:33" ht="17.100000000000001" customHeight="1" thickBot="1" x14ac:dyDescent="0.25">
      <c r="B7" s="483" t="s">
        <v>279</v>
      </c>
      <c r="C7" s="484"/>
      <c r="D7" s="484"/>
      <c r="E7" s="484"/>
      <c r="F7" s="484"/>
      <c r="G7" s="484"/>
      <c r="H7" s="485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59"/>
      <c r="Z7" s="59"/>
      <c r="AA7" s="59"/>
      <c r="AB7" s="59"/>
      <c r="AC7" s="59"/>
      <c r="AD7" s="59"/>
      <c r="AE7" s="59"/>
      <c r="AF7" s="59"/>
      <c r="AG7" s="59"/>
    </row>
    <row r="8" spans="1:33" s="81" customFormat="1" ht="26.25" thickBot="1" x14ac:dyDescent="0.25">
      <c r="B8" s="82" t="s">
        <v>12</v>
      </c>
      <c r="C8" s="475" t="s">
        <v>0</v>
      </c>
      <c r="D8" s="476"/>
      <c r="E8" s="83" t="s">
        <v>123</v>
      </c>
      <c r="F8" s="84" t="s">
        <v>2</v>
      </c>
      <c r="G8" s="85" t="s">
        <v>124</v>
      </c>
      <c r="H8" s="86" t="s">
        <v>29</v>
      </c>
      <c r="N8" s="65"/>
      <c r="O8" s="66"/>
      <c r="P8" s="65"/>
      <c r="Q8" s="65"/>
      <c r="R8" s="65"/>
      <c r="S8" s="65"/>
      <c r="T8" s="66"/>
      <c r="U8" s="65"/>
      <c r="V8" s="65"/>
      <c r="W8" s="65"/>
      <c r="X8" s="65"/>
      <c r="Y8" s="67"/>
      <c r="Z8" s="67"/>
      <c r="AA8" s="67"/>
      <c r="AB8" s="67"/>
      <c r="AC8" s="67"/>
      <c r="AD8" s="67"/>
      <c r="AE8" s="67"/>
      <c r="AF8" s="67"/>
      <c r="AG8" s="67"/>
    </row>
    <row r="9" spans="1:33" ht="12.95" customHeight="1" x14ac:dyDescent="0.2">
      <c r="A9" s="39" t="s">
        <v>44</v>
      </c>
      <c r="B9" s="87">
        <v>1</v>
      </c>
      <c r="C9" s="433" t="s">
        <v>8</v>
      </c>
      <c r="D9" s="434"/>
      <c r="E9" s="88" t="s">
        <v>9</v>
      </c>
      <c r="F9" s="15">
        <f>E88</f>
        <v>539</v>
      </c>
      <c r="G9" s="419"/>
      <c r="H9" s="139">
        <f>SUM(F9*G9)</f>
        <v>0</v>
      </c>
      <c r="M9" s="59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12.95" customHeight="1" x14ac:dyDescent="0.2">
      <c r="A10" s="39" t="s">
        <v>45</v>
      </c>
      <c r="B10" s="87">
        <f>B9+1</f>
        <v>2</v>
      </c>
      <c r="C10" s="435" t="s">
        <v>128</v>
      </c>
      <c r="D10" s="436"/>
      <c r="E10" s="18" t="s">
        <v>5</v>
      </c>
      <c r="F10" s="15">
        <f>IF(A92="No",ROUNDUP(((G83-1.5+E85)*A83),0),ROUNDUP(((G83+2+E85)*A83),0))</f>
        <v>76</v>
      </c>
      <c r="G10" s="419"/>
      <c r="H10" s="139">
        <f t="shared" ref="H10:H13" si="0">SUM(F10*G10)</f>
        <v>0</v>
      </c>
      <c r="J10" s="159">
        <v>4</v>
      </c>
      <c r="K10" s="45"/>
      <c r="L10" s="45"/>
      <c r="M10" s="5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59"/>
      <c r="Z10" s="59"/>
      <c r="AA10" s="59"/>
      <c r="AB10" s="59"/>
      <c r="AC10" s="59"/>
      <c r="AD10" s="59"/>
      <c r="AE10" s="59"/>
      <c r="AF10" s="59"/>
      <c r="AG10" s="59"/>
    </row>
    <row r="11" spans="1:33" ht="12.95" customHeight="1" x14ac:dyDescent="0.25">
      <c r="A11" s="39" t="s">
        <v>46</v>
      </c>
      <c r="B11" s="87">
        <f t="shared" ref="B11:B66" si="1">B10+1</f>
        <v>3</v>
      </c>
      <c r="C11" s="435" t="s">
        <v>129</v>
      </c>
      <c r="D11" s="436"/>
      <c r="E11" s="18" t="s">
        <v>6</v>
      </c>
      <c r="F11" s="18">
        <f>A83</f>
        <v>2</v>
      </c>
      <c r="G11" s="419"/>
      <c r="H11" s="139">
        <f t="shared" si="0"/>
        <v>0</v>
      </c>
      <c r="K11" s="45"/>
      <c r="L11" s="45"/>
      <c r="M11" s="58"/>
      <c r="N11" s="58"/>
      <c r="O11" s="68"/>
      <c r="P11" s="58"/>
      <c r="Q11" s="58"/>
      <c r="R11" s="89"/>
      <c r="S11" s="89"/>
      <c r="T11" s="68"/>
      <c r="U11" s="69"/>
      <c r="V11" s="49"/>
      <c r="W11" s="50"/>
      <c r="X11" s="51"/>
      <c r="Y11" s="59"/>
      <c r="Z11" s="59"/>
      <c r="AA11" s="59"/>
      <c r="AB11" s="59"/>
      <c r="AC11" s="59"/>
      <c r="AD11" s="59"/>
      <c r="AE11" s="59"/>
      <c r="AF11" s="59"/>
      <c r="AG11" s="59"/>
    </row>
    <row r="12" spans="1:33" ht="12.95" customHeight="1" x14ac:dyDescent="0.25">
      <c r="A12" s="39" t="s">
        <v>47</v>
      </c>
      <c r="B12" s="87">
        <f t="shared" si="1"/>
        <v>4</v>
      </c>
      <c r="C12" s="435" t="s">
        <v>107</v>
      </c>
      <c r="D12" s="436"/>
      <c r="E12" s="18" t="s">
        <v>6</v>
      </c>
      <c r="F12" s="18">
        <f>A83</f>
        <v>2</v>
      </c>
      <c r="G12" s="419"/>
      <c r="H12" s="139">
        <f t="shared" si="0"/>
        <v>0</v>
      </c>
      <c r="J12" s="52"/>
      <c r="K12" s="90"/>
      <c r="L12" s="58"/>
      <c r="M12" s="58"/>
      <c r="N12" s="58"/>
      <c r="O12" s="91"/>
      <c r="P12" s="45"/>
      <c r="R12" s="92"/>
      <c r="S12" s="92"/>
      <c r="T12" s="53"/>
      <c r="U12" s="49"/>
      <c r="V12" s="49"/>
      <c r="W12" s="50"/>
      <c r="X12" s="51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12.95" customHeight="1" x14ac:dyDescent="0.25">
      <c r="A13" s="39" t="s">
        <v>48</v>
      </c>
      <c r="B13" s="87">
        <f t="shared" si="1"/>
        <v>5</v>
      </c>
      <c r="C13" s="435" t="s">
        <v>33</v>
      </c>
      <c r="D13" s="436"/>
      <c r="E13" s="18" t="s">
        <v>6</v>
      </c>
      <c r="F13" s="15">
        <f>IF((G83)&lt;18.3,2,2+(ROUNDDOWN(((G83-10.1)/8),0)))</f>
        <v>3</v>
      </c>
      <c r="G13" s="419"/>
      <c r="H13" s="139">
        <f t="shared" si="0"/>
        <v>0</v>
      </c>
      <c r="J13" s="53"/>
      <c r="K13" s="90"/>
      <c r="L13" s="58"/>
      <c r="M13" s="54"/>
      <c r="N13" s="58"/>
      <c r="O13" s="91"/>
      <c r="P13" s="58"/>
      <c r="Q13" s="58"/>
      <c r="R13" s="92"/>
      <c r="S13" s="92"/>
      <c r="T13" s="53"/>
      <c r="U13" s="49"/>
      <c r="V13" s="49"/>
      <c r="W13" s="55"/>
      <c r="X13" s="51"/>
      <c r="Y13" s="59"/>
      <c r="Z13" s="59"/>
      <c r="AA13" s="59"/>
      <c r="AB13" s="59"/>
      <c r="AC13" s="59"/>
      <c r="AD13" s="59"/>
      <c r="AE13" s="59"/>
      <c r="AF13" s="59"/>
      <c r="AG13" s="59"/>
    </row>
    <row r="14" spans="1:33" ht="12.95" customHeight="1" x14ac:dyDescent="0.25">
      <c r="A14" s="39" t="s">
        <v>49</v>
      </c>
      <c r="B14" s="87">
        <f>B13+1</f>
        <v>6</v>
      </c>
      <c r="C14" s="302" t="s">
        <v>223</v>
      </c>
      <c r="D14" s="303"/>
      <c r="E14" s="165"/>
      <c r="F14" s="165"/>
      <c r="G14" s="167"/>
      <c r="H14" s="171"/>
      <c r="J14" s="53"/>
      <c r="K14" s="92"/>
      <c r="L14" s="92"/>
      <c r="M14" s="92"/>
      <c r="N14" s="92"/>
      <c r="O14" s="91"/>
      <c r="P14" s="58"/>
      <c r="Q14" s="58"/>
      <c r="R14" s="92"/>
      <c r="S14" s="92"/>
      <c r="T14" s="53"/>
      <c r="U14" s="49"/>
      <c r="V14" s="49"/>
      <c r="W14" s="50"/>
      <c r="X14" s="51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33" ht="12.95" customHeight="1" x14ac:dyDescent="0.25">
      <c r="B15" s="164">
        <f>B14+0.1</f>
        <v>6.1</v>
      </c>
      <c r="C15" s="302" t="s">
        <v>223</v>
      </c>
      <c r="D15" s="303"/>
      <c r="E15" s="165"/>
      <c r="F15" s="165"/>
      <c r="G15" s="167"/>
      <c r="H15" s="171"/>
      <c r="J15" s="53"/>
      <c r="K15" s="92"/>
      <c r="L15" s="92"/>
      <c r="M15" s="92"/>
      <c r="N15" s="92"/>
      <c r="O15" s="91"/>
      <c r="P15" s="58"/>
      <c r="Q15" s="58"/>
      <c r="R15" s="92"/>
      <c r="S15" s="92"/>
      <c r="T15" s="53"/>
      <c r="U15" s="49"/>
      <c r="V15" s="49"/>
      <c r="W15" s="50"/>
      <c r="X15" s="51"/>
      <c r="Y15" s="59"/>
      <c r="Z15" s="59"/>
      <c r="AA15" s="59"/>
      <c r="AB15" s="59"/>
      <c r="AC15" s="59"/>
      <c r="AD15" s="59"/>
      <c r="AE15" s="59"/>
      <c r="AF15" s="59"/>
      <c r="AG15" s="59"/>
    </row>
    <row r="16" spans="1:33" ht="12.95" customHeight="1" x14ac:dyDescent="0.25">
      <c r="B16" s="87">
        <f>B14+1</f>
        <v>7</v>
      </c>
      <c r="C16" s="435" t="s">
        <v>167</v>
      </c>
      <c r="D16" s="436"/>
      <c r="E16" s="165"/>
      <c r="F16" s="166"/>
      <c r="G16" s="167"/>
      <c r="H16" s="170"/>
      <c r="J16" s="53"/>
      <c r="K16" s="92"/>
      <c r="L16" s="92"/>
      <c r="M16" s="92"/>
      <c r="N16" s="92"/>
      <c r="O16" s="91"/>
      <c r="P16" s="58"/>
      <c r="Q16" s="58"/>
      <c r="R16" s="92"/>
      <c r="S16" s="92"/>
      <c r="T16" s="53"/>
      <c r="U16" s="49"/>
      <c r="V16" s="49"/>
      <c r="W16" s="50"/>
      <c r="X16" s="51"/>
      <c r="Y16" s="59"/>
      <c r="Z16" s="59"/>
      <c r="AA16" s="59"/>
      <c r="AB16" s="59"/>
      <c r="AC16" s="59"/>
      <c r="AD16" s="59"/>
      <c r="AE16" s="59"/>
      <c r="AF16" s="59"/>
      <c r="AG16" s="59"/>
    </row>
    <row r="17" spans="1:33" ht="12.95" customHeight="1" x14ac:dyDescent="0.25">
      <c r="A17" s="39" t="s">
        <v>50</v>
      </c>
      <c r="B17" s="164">
        <f>B16+0.1</f>
        <v>7.1</v>
      </c>
      <c r="C17" s="435" t="s">
        <v>197</v>
      </c>
      <c r="D17" s="436"/>
      <c r="E17" s="18" t="s">
        <v>6</v>
      </c>
      <c r="F17" s="95">
        <v>1</v>
      </c>
      <c r="G17" s="420"/>
      <c r="H17" s="139">
        <f>SUM(F17*G17)</f>
        <v>0</v>
      </c>
      <c r="J17" s="53"/>
      <c r="K17" s="93"/>
      <c r="L17" s="92"/>
      <c r="M17" s="92"/>
      <c r="N17" s="92"/>
      <c r="O17" s="91"/>
      <c r="P17" s="58"/>
      <c r="Q17" s="58"/>
      <c r="R17" s="92"/>
      <c r="S17" s="92"/>
      <c r="T17" s="53"/>
      <c r="U17" s="49"/>
      <c r="V17" s="49"/>
      <c r="W17" s="50"/>
      <c r="X17" s="51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 ht="12.95" customHeight="1" x14ac:dyDescent="0.25">
      <c r="B18" s="164">
        <f>B17+0.1</f>
        <v>7.1999999999999993</v>
      </c>
      <c r="C18" s="302" t="s">
        <v>223</v>
      </c>
      <c r="D18" s="303"/>
      <c r="E18" s="165"/>
      <c r="F18" s="165"/>
      <c r="G18" s="167"/>
      <c r="H18" s="167"/>
      <c r="J18" s="53"/>
      <c r="K18" s="92"/>
      <c r="L18" s="92"/>
      <c r="M18" s="92"/>
      <c r="N18" s="92"/>
      <c r="O18" s="91"/>
      <c r="P18" s="58"/>
      <c r="Q18" s="58"/>
      <c r="R18" s="92"/>
      <c r="S18" s="92"/>
      <c r="T18" s="53"/>
      <c r="U18" s="49"/>
      <c r="V18" s="49"/>
      <c r="W18" s="50"/>
      <c r="X18" s="51"/>
      <c r="Y18" s="59"/>
      <c r="Z18" s="59"/>
      <c r="AA18" s="59"/>
      <c r="AB18" s="59"/>
      <c r="AC18" s="59"/>
      <c r="AD18" s="59"/>
      <c r="AE18" s="59"/>
      <c r="AF18" s="59"/>
      <c r="AG18" s="59"/>
    </row>
    <row r="19" spans="1:33" ht="12.95" customHeight="1" x14ac:dyDescent="0.25">
      <c r="B19" s="87">
        <f>B16+1</f>
        <v>8</v>
      </c>
      <c r="C19" s="435" t="s">
        <v>108</v>
      </c>
      <c r="D19" s="436"/>
      <c r="E19" s="18" t="s">
        <v>6</v>
      </c>
      <c r="F19" s="95">
        <v>1</v>
      </c>
      <c r="G19" s="420"/>
      <c r="H19" s="139">
        <f t="shared" ref="H19:H65" si="2">SUM(F19*G19)</f>
        <v>0</v>
      </c>
      <c r="J19" s="53"/>
      <c r="K19" s="92"/>
      <c r="L19" s="92"/>
      <c r="M19" s="92"/>
      <c r="N19" s="92"/>
      <c r="O19" s="91"/>
      <c r="P19" s="94"/>
      <c r="Q19" s="92"/>
      <c r="R19" s="92"/>
      <c r="S19" s="92"/>
      <c r="T19" s="53"/>
      <c r="U19" s="49"/>
      <c r="V19" s="49"/>
      <c r="W19" s="50"/>
      <c r="X19" s="51"/>
      <c r="Y19" s="59"/>
      <c r="Z19" s="59"/>
      <c r="AA19" s="59"/>
      <c r="AB19" s="59"/>
      <c r="AC19" s="59"/>
      <c r="AD19" s="59"/>
      <c r="AE19" s="59"/>
      <c r="AF19" s="59"/>
      <c r="AG19" s="59"/>
    </row>
    <row r="20" spans="1:33" ht="12.95" customHeight="1" x14ac:dyDescent="0.25">
      <c r="A20" s="39" t="s">
        <v>51</v>
      </c>
      <c r="B20" s="87">
        <f t="shared" si="1"/>
        <v>9</v>
      </c>
      <c r="C20" s="452" t="s">
        <v>87</v>
      </c>
      <c r="D20" s="453"/>
      <c r="E20" s="18" t="s">
        <v>6</v>
      </c>
      <c r="F20" s="95">
        <v>1</v>
      </c>
      <c r="G20" s="420"/>
      <c r="H20" s="139">
        <f t="shared" si="2"/>
        <v>0</v>
      </c>
      <c r="J20" s="53"/>
      <c r="K20" s="92"/>
      <c r="L20" s="92"/>
      <c r="M20" s="255" t="s">
        <v>228</v>
      </c>
      <c r="N20" s="255"/>
      <c r="O20" s="256"/>
      <c r="P20" s="257"/>
      <c r="Q20" s="258"/>
      <c r="R20" s="258"/>
      <c r="S20" s="92"/>
      <c r="T20" s="53"/>
      <c r="U20" s="49"/>
      <c r="V20" s="49"/>
      <c r="W20" s="50"/>
      <c r="X20" s="51"/>
      <c r="Y20" s="59"/>
      <c r="Z20" s="59"/>
      <c r="AA20" s="59"/>
      <c r="AB20" s="59"/>
      <c r="AC20" s="59"/>
      <c r="AD20" s="59"/>
      <c r="AE20" s="59"/>
      <c r="AF20" s="59"/>
      <c r="AG20" s="59"/>
    </row>
    <row r="21" spans="1:33" ht="12.95" customHeight="1" x14ac:dyDescent="0.25">
      <c r="A21" s="39" t="s">
        <v>51</v>
      </c>
      <c r="B21" s="87">
        <f t="shared" si="1"/>
        <v>10</v>
      </c>
      <c r="C21" s="302" t="s">
        <v>223</v>
      </c>
      <c r="D21" s="303"/>
      <c r="E21" s="165"/>
      <c r="F21" s="165"/>
      <c r="G21" s="167"/>
      <c r="H21" s="167"/>
      <c r="J21" s="53"/>
      <c r="K21" s="92"/>
      <c r="L21" s="92"/>
      <c r="M21" s="255" t="s">
        <v>229</v>
      </c>
      <c r="N21" s="255"/>
      <c r="O21" s="259" t="s">
        <v>230</v>
      </c>
      <c r="P21" s="259" t="s">
        <v>231</v>
      </c>
      <c r="Q21" s="258"/>
      <c r="R21" s="258"/>
      <c r="S21" s="92"/>
      <c r="T21" s="53"/>
      <c r="U21" s="49"/>
      <c r="V21" s="49"/>
      <c r="W21" s="50"/>
      <c r="X21" s="51"/>
      <c r="Y21" s="59"/>
      <c r="Z21" s="59"/>
      <c r="AA21" s="59"/>
      <c r="AB21" s="59"/>
      <c r="AC21" s="59"/>
      <c r="AD21" s="59"/>
      <c r="AE21" s="59"/>
      <c r="AF21" s="59"/>
      <c r="AG21" s="59"/>
    </row>
    <row r="22" spans="1:33" ht="12.95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52</v>
      </c>
      <c r="G22" s="420"/>
      <c r="H22" s="139">
        <f t="shared" si="2"/>
        <v>0</v>
      </c>
      <c r="K22" s="59"/>
      <c r="L22" s="58"/>
      <c r="M22" s="210" t="s">
        <v>232</v>
      </c>
      <c r="N22" s="210"/>
      <c r="O22" s="210" t="s">
        <v>233</v>
      </c>
      <c r="P22" s="210" t="s">
        <v>234</v>
      </c>
      <c r="Q22" s="225" t="s">
        <v>235</v>
      </c>
      <c r="R22" s="220"/>
      <c r="S22" s="143"/>
      <c r="T22" s="144"/>
      <c r="U22" s="143"/>
      <c r="V22" s="53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</row>
    <row r="23" spans="1:33" ht="12.95" customHeight="1" x14ac:dyDescent="0.2">
      <c r="A23" s="39" t="s">
        <v>53</v>
      </c>
      <c r="B23" s="87">
        <f t="shared" si="1"/>
        <v>12</v>
      </c>
      <c r="C23" s="302" t="s">
        <v>223</v>
      </c>
      <c r="D23" s="303"/>
      <c r="E23" s="165"/>
      <c r="F23" s="165"/>
      <c r="G23" s="167"/>
      <c r="H23" s="167"/>
      <c r="J23" s="45"/>
      <c r="K23" s="59"/>
      <c r="L23" s="161"/>
      <c r="M23" s="210" t="s">
        <v>236</v>
      </c>
      <c r="N23" s="210"/>
      <c r="O23" s="210" t="s">
        <v>237</v>
      </c>
      <c r="P23" s="210" t="s">
        <v>238</v>
      </c>
      <c r="Q23" s="225" t="s">
        <v>235</v>
      </c>
      <c r="R23" s="260"/>
      <c r="S23" s="145"/>
      <c r="T23" s="145"/>
      <c r="U23" s="145"/>
      <c r="V23" s="145"/>
      <c r="W23" s="49"/>
      <c r="X23" s="49"/>
      <c r="Y23" s="59"/>
      <c r="Z23" s="59"/>
      <c r="AA23" s="59"/>
      <c r="AB23" s="59"/>
      <c r="AC23" s="59"/>
      <c r="AD23" s="59"/>
      <c r="AE23" s="59"/>
      <c r="AF23" s="59"/>
      <c r="AG23" s="59"/>
    </row>
    <row r="24" spans="1:33" ht="12.95" customHeight="1" x14ac:dyDescent="0.2">
      <c r="A24" s="39" t="s">
        <v>67</v>
      </c>
      <c r="B24" s="87">
        <f t="shared" si="1"/>
        <v>13</v>
      </c>
      <c r="C24" s="450" t="s">
        <v>37</v>
      </c>
      <c r="D24" s="451"/>
      <c r="E24" s="78" t="s">
        <v>9</v>
      </c>
      <c r="F24" s="95">
        <f>IF(A89="NO",0,E88)</f>
        <v>539</v>
      </c>
      <c r="G24" s="421"/>
      <c r="H24" s="139">
        <f t="shared" si="2"/>
        <v>0</v>
      </c>
      <c r="J24" s="96"/>
      <c r="K24" s="90"/>
      <c r="L24" s="174"/>
      <c r="M24" s="210" t="s">
        <v>239</v>
      </c>
      <c r="N24" s="210"/>
      <c r="O24" s="210" t="s">
        <v>240</v>
      </c>
      <c r="P24" s="210" t="s">
        <v>241</v>
      </c>
      <c r="Q24" s="220"/>
      <c r="R24" s="226"/>
      <c r="S24" s="196"/>
      <c r="T24" s="196"/>
      <c r="U24" s="196"/>
      <c r="V24" s="196"/>
      <c r="W24" s="49"/>
      <c r="X24" s="49"/>
      <c r="Y24" s="59"/>
      <c r="Z24" s="59"/>
      <c r="AA24" s="59"/>
      <c r="AB24" s="59"/>
      <c r="AC24" s="59"/>
      <c r="AD24" s="59"/>
      <c r="AE24" s="59"/>
      <c r="AF24" s="59"/>
      <c r="AG24" s="59"/>
    </row>
    <row r="25" spans="1:33" ht="12.95" customHeight="1" x14ac:dyDescent="0.2">
      <c r="B25" s="87">
        <f t="shared" si="1"/>
        <v>14</v>
      </c>
      <c r="C25" s="435" t="s">
        <v>203</v>
      </c>
      <c r="D25" s="436"/>
      <c r="E25" s="18" t="s">
        <v>9</v>
      </c>
      <c r="F25" s="57">
        <f>F24</f>
        <v>539</v>
      </c>
      <c r="G25" s="419"/>
      <c r="H25" s="139">
        <f t="shared" si="2"/>
        <v>0</v>
      </c>
      <c r="J25" s="96"/>
      <c r="K25" s="90"/>
      <c r="L25" s="174"/>
      <c r="M25" s="210" t="s">
        <v>239</v>
      </c>
      <c r="N25" s="261"/>
      <c r="O25" s="210" t="s">
        <v>242</v>
      </c>
      <c r="P25" s="210" t="s">
        <v>243</v>
      </c>
      <c r="Q25" s="220"/>
      <c r="R25" s="226"/>
      <c r="S25" s="145"/>
      <c r="T25" s="145"/>
      <c r="U25" s="145"/>
      <c r="V25" s="145"/>
      <c r="W25" s="49"/>
      <c r="X25" s="49"/>
      <c r="Y25" s="59"/>
      <c r="Z25" s="59"/>
      <c r="AA25" s="59"/>
      <c r="AB25" s="59"/>
      <c r="AC25" s="59"/>
      <c r="AD25" s="59"/>
      <c r="AE25" s="59"/>
      <c r="AF25" s="59"/>
      <c r="AG25" s="59"/>
    </row>
    <row r="26" spans="1:33" ht="12.95" customHeight="1" x14ac:dyDescent="0.2">
      <c r="A26" s="39" t="s">
        <v>54</v>
      </c>
      <c r="B26" s="87">
        <f t="shared" si="1"/>
        <v>15</v>
      </c>
      <c r="C26" s="302" t="s">
        <v>223</v>
      </c>
      <c r="D26" s="303"/>
      <c r="E26" s="165"/>
      <c r="F26" s="165"/>
      <c r="G26" s="167"/>
      <c r="H26" s="167"/>
      <c r="J26" s="53"/>
      <c r="K26" s="90"/>
      <c r="L26" s="174"/>
      <c r="M26" s="262" t="s">
        <v>244</v>
      </c>
      <c r="N26" s="210"/>
      <c r="O26" s="210" t="s">
        <v>245</v>
      </c>
      <c r="P26" s="210" t="s">
        <v>246</v>
      </c>
      <c r="Q26" s="220"/>
      <c r="R26" s="260"/>
      <c r="S26" s="145"/>
      <c r="T26" s="145"/>
      <c r="U26" s="145"/>
      <c r="V26" s="145"/>
      <c r="W26" s="49"/>
      <c r="X26" s="49"/>
      <c r="Y26" s="59"/>
      <c r="Z26" s="59"/>
      <c r="AA26" s="59"/>
      <c r="AB26" s="59"/>
      <c r="AC26" s="59"/>
      <c r="AD26" s="59"/>
      <c r="AE26" s="59"/>
      <c r="AF26" s="59"/>
      <c r="AG26" s="59"/>
    </row>
    <row r="27" spans="1:33" ht="12.95" customHeight="1" x14ac:dyDescent="0.2">
      <c r="B27" s="87">
        <f t="shared" si="1"/>
        <v>16</v>
      </c>
      <c r="C27" s="281" t="s">
        <v>84</v>
      </c>
      <c r="D27" s="282"/>
      <c r="E27" s="18" t="s">
        <v>6</v>
      </c>
      <c r="F27" s="95">
        <v>1</v>
      </c>
      <c r="G27" s="419"/>
      <c r="H27" s="139">
        <f t="shared" si="2"/>
        <v>0</v>
      </c>
      <c r="J27" s="53"/>
      <c r="K27" s="90"/>
      <c r="L27" s="174"/>
      <c r="M27" s="262" t="s">
        <v>247</v>
      </c>
      <c r="N27" s="210"/>
      <c r="O27" s="210" t="s">
        <v>248</v>
      </c>
      <c r="P27" s="210" t="s">
        <v>249</v>
      </c>
      <c r="Q27" s="220"/>
      <c r="R27" s="260"/>
      <c r="S27" s="145"/>
      <c r="T27" s="145"/>
      <c r="U27" s="145"/>
      <c r="V27" s="145"/>
      <c r="W27" s="49"/>
      <c r="X27" s="49"/>
      <c r="Y27" s="59"/>
      <c r="Z27" s="59"/>
      <c r="AA27" s="59"/>
      <c r="AB27" s="59"/>
      <c r="AC27" s="59"/>
      <c r="AD27" s="59"/>
      <c r="AE27" s="59"/>
      <c r="AF27" s="59"/>
      <c r="AG27" s="59"/>
    </row>
    <row r="28" spans="1:33" ht="12.95" customHeight="1" x14ac:dyDescent="0.2">
      <c r="A28" s="39" t="s">
        <v>55</v>
      </c>
      <c r="B28" s="87">
        <f t="shared" si="1"/>
        <v>17</v>
      </c>
      <c r="C28" s="435" t="s">
        <v>109</v>
      </c>
      <c r="D28" s="436"/>
      <c r="E28" s="18" t="s">
        <v>6</v>
      </c>
      <c r="F28" s="57">
        <v>3</v>
      </c>
      <c r="G28" s="419"/>
      <c r="H28" s="139">
        <f t="shared" si="2"/>
        <v>0</v>
      </c>
      <c r="J28" s="58"/>
      <c r="K28" s="90"/>
      <c r="L28" s="174"/>
      <c r="M28" s="161"/>
      <c r="N28" s="58"/>
      <c r="O28" s="160"/>
      <c r="Q28" s="59"/>
      <c r="R28" s="144"/>
      <c r="S28" s="145"/>
      <c r="T28" s="145"/>
      <c r="U28" s="145"/>
      <c r="V28" s="145"/>
      <c r="W28" s="49"/>
      <c r="X28" s="49"/>
      <c r="Y28" s="59"/>
      <c r="Z28" s="59"/>
      <c r="AA28" s="59"/>
      <c r="AB28" s="59"/>
      <c r="AC28" s="59"/>
      <c r="AD28" s="59"/>
      <c r="AE28" s="59"/>
      <c r="AF28" s="59"/>
      <c r="AG28" s="59"/>
    </row>
    <row r="29" spans="1:33" ht="12.95" customHeight="1" x14ac:dyDescent="0.2">
      <c r="A29" s="39" t="s">
        <v>56</v>
      </c>
      <c r="B29" s="87">
        <f t="shared" si="1"/>
        <v>18</v>
      </c>
      <c r="C29" s="435" t="s">
        <v>110</v>
      </c>
      <c r="D29" s="436"/>
      <c r="E29" s="18" t="s">
        <v>6</v>
      </c>
      <c r="F29" s="57">
        <v>2</v>
      </c>
      <c r="G29" s="419"/>
      <c r="H29" s="139">
        <f t="shared" si="2"/>
        <v>0</v>
      </c>
      <c r="J29" s="45"/>
      <c r="K29" s="90"/>
      <c r="L29" s="174"/>
      <c r="M29" s="161"/>
      <c r="N29" s="58"/>
      <c r="O29" s="160"/>
      <c r="Q29" s="59"/>
      <c r="R29" s="144"/>
      <c r="S29" s="145"/>
      <c r="T29" s="145"/>
      <c r="U29" s="145"/>
      <c r="V29" s="145"/>
      <c r="W29" s="49"/>
      <c r="X29" s="49"/>
      <c r="Y29" s="59"/>
      <c r="Z29" s="59"/>
      <c r="AA29" s="59"/>
      <c r="AB29" s="59"/>
      <c r="AC29" s="59"/>
      <c r="AD29" s="59"/>
      <c r="AE29" s="59"/>
      <c r="AF29" s="59"/>
      <c r="AG29" s="59"/>
    </row>
    <row r="30" spans="1:33" ht="12.95" customHeight="1" x14ac:dyDescent="0.2">
      <c r="A30" s="39" t="s">
        <v>121</v>
      </c>
      <c r="B30" s="87">
        <f t="shared" si="1"/>
        <v>19</v>
      </c>
      <c r="C30" s="435" t="s">
        <v>111</v>
      </c>
      <c r="D30" s="458"/>
      <c r="E30" s="18" t="s">
        <v>6</v>
      </c>
      <c r="F30" s="95">
        <v>1</v>
      </c>
      <c r="G30" s="419"/>
      <c r="H30" s="139">
        <f t="shared" si="2"/>
        <v>0</v>
      </c>
      <c r="K30" s="59"/>
      <c r="L30" s="174"/>
      <c r="M30" s="161"/>
      <c r="N30" s="58"/>
      <c r="O30" s="160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</row>
    <row r="31" spans="1:33" ht="12.95" customHeight="1" x14ac:dyDescent="0.2">
      <c r="A31" s="39" t="s">
        <v>57</v>
      </c>
      <c r="B31" s="87">
        <f t="shared" si="1"/>
        <v>20</v>
      </c>
      <c r="C31" s="445" t="s">
        <v>112</v>
      </c>
      <c r="D31" s="446"/>
      <c r="E31" s="18" t="s">
        <v>5</v>
      </c>
      <c r="F31" s="57">
        <f>IF(A92="Yes",5,0)</f>
        <v>5</v>
      </c>
      <c r="G31" s="419"/>
      <c r="H31" s="139">
        <f t="shared" si="2"/>
        <v>0</v>
      </c>
      <c r="J31" s="45"/>
      <c r="K31" s="59"/>
      <c r="L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</row>
    <row r="32" spans="1:33" ht="12.95" customHeight="1" x14ac:dyDescent="0.25">
      <c r="A32" s="39" t="s">
        <v>63</v>
      </c>
      <c r="B32" s="87">
        <f t="shared" si="1"/>
        <v>21</v>
      </c>
      <c r="C32" s="435" t="s">
        <v>130</v>
      </c>
      <c r="D32" s="436"/>
      <c r="E32" s="18" t="s">
        <v>5</v>
      </c>
      <c r="F32" s="57">
        <f>E86</f>
        <v>25</v>
      </c>
      <c r="G32" s="419"/>
      <c r="H32" s="139">
        <f t="shared" si="2"/>
        <v>0</v>
      </c>
      <c r="J32" s="159"/>
      <c r="K32" s="59"/>
      <c r="L32" s="58"/>
      <c r="M32" s="58"/>
      <c r="N32" s="160"/>
      <c r="Q32" s="197"/>
      <c r="R32" s="198"/>
      <c r="S32" s="143"/>
      <c r="T32" s="144"/>
      <c r="U32" s="143"/>
      <c r="V32" s="53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</row>
    <row r="33" spans="1:33" ht="12.95" customHeight="1" x14ac:dyDescent="0.2">
      <c r="A33" s="39" t="s">
        <v>58</v>
      </c>
      <c r="B33" s="87">
        <f>B32+1</f>
        <v>22</v>
      </c>
      <c r="C33" s="445" t="s">
        <v>198</v>
      </c>
      <c r="D33" s="446"/>
      <c r="E33" s="165"/>
      <c r="F33" s="166"/>
      <c r="G33" s="167"/>
      <c r="H33" s="167"/>
      <c r="J33" s="96"/>
      <c r="K33" s="90"/>
      <c r="L33" s="58"/>
      <c r="M33" s="263" t="s">
        <v>250</v>
      </c>
      <c r="N33" s="226" t="s">
        <v>251</v>
      </c>
      <c r="O33" s="160"/>
      <c r="Q33" s="59"/>
      <c r="R33" s="145"/>
      <c r="S33" s="196"/>
      <c r="T33" s="196"/>
      <c r="U33" s="196"/>
      <c r="V33" s="196"/>
      <c r="W33" s="53"/>
      <c r="X33" s="53"/>
      <c r="Y33" s="59"/>
      <c r="Z33" s="59"/>
      <c r="AA33" s="59"/>
      <c r="AB33" s="59"/>
      <c r="AC33" s="59"/>
      <c r="AD33" s="59"/>
      <c r="AE33" s="59"/>
      <c r="AF33" s="59"/>
      <c r="AG33" s="59"/>
    </row>
    <row r="34" spans="1:33" ht="12.95" customHeight="1" x14ac:dyDescent="0.2">
      <c r="B34" s="164">
        <f>B33+0.1</f>
        <v>22.1</v>
      </c>
      <c r="C34" s="285" t="s">
        <v>139</v>
      </c>
      <c r="D34" s="286"/>
      <c r="E34" s="18" t="s">
        <v>6</v>
      </c>
      <c r="F34" s="57">
        <v>2</v>
      </c>
      <c r="G34" s="419"/>
      <c r="H34" s="139">
        <f t="shared" si="2"/>
        <v>0</v>
      </c>
      <c r="J34" s="96"/>
      <c r="K34" s="90"/>
      <c r="L34" s="58"/>
      <c r="M34" s="264">
        <v>0</v>
      </c>
      <c r="N34" s="264">
        <v>2</v>
      </c>
      <c r="O34" s="160"/>
      <c r="Q34" s="59"/>
      <c r="R34" s="145"/>
      <c r="S34" s="145"/>
      <c r="T34" s="145"/>
      <c r="U34" s="145"/>
      <c r="V34" s="145"/>
      <c r="W34" s="145"/>
      <c r="X34" s="145"/>
      <c r="Y34" s="59"/>
      <c r="Z34" s="59"/>
      <c r="AA34" s="59"/>
      <c r="AB34" s="59"/>
      <c r="AC34" s="59"/>
      <c r="AD34" s="59"/>
      <c r="AE34" s="59"/>
      <c r="AF34" s="59"/>
      <c r="AG34" s="59"/>
    </row>
    <row r="35" spans="1:33" ht="12.95" customHeight="1" x14ac:dyDescent="0.2">
      <c r="B35" s="164">
        <f t="shared" ref="B35:B38" si="3">B34+0.1</f>
        <v>22.200000000000003</v>
      </c>
      <c r="C35" s="302" t="s">
        <v>223</v>
      </c>
      <c r="D35" s="303"/>
      <c r="E35" s="165"/>
      <c r="F35" s="165"/>
      <c r="G35" s="167"/>
      <c r="H35" s="167"/>
      <c r="J35" s="53"/>
      <c r="K35" s="90"/>
      <c r="L35" s="58"/>
      <c r="M35" s="264">
        <v>1</v>
      </c>
      <c r="N35" s="264">
        <v>0</v>
      </c>
      <c r="O35" s="160"/>
      <c r="Q35" s="59"/>
      <c r="R35" s="144"/>
      <c r="S35" s="145"/>
      <c r="T35" s="145"/>
      <c r="U35" s="145"/>
      <c r="V35" s="145"/>
      <c r="W35" s="145"/>
      <c r="X35" s="145"/>
      <c r="Y35" s="59"/>
      <c r="Z35" s="59"/>
      <c r="AA35" s="59"/>
      <c r="AB35" s="59"/>
      <c r="AC35" s="59"/>
      <c r="AD35" s="59"/>
      <c r="AE35" s="59"/>
      <c r="AF35" s="59"/>
      <c r="AG35" s="59"/>
    </row>
    <row r="36" spans="1:33" ht="12.95" customHeight="1" x14ac:dyDescent="0.2">
      <c r="B36" s="164">
        <f t="shared" si="3"/>
        <v>22.300000000000004</v>
      </c>
      <c r="C36" s="285" t="s">
        <v>140</v>
      </c>
      <c r="D36" s="286"/>
      <c r="E36" s="18" t="s">
        <v>6</v>
      </c>
      <c r="F36" s="57">
        <v>1</v>
      </c>
      <c r="G36" s="419"/>
      <c r="H36" s="139">
        <f t="shared" si="2"/>
        <v>0</v>
      </c>
      <c r="J36" s="53"/>
      <c r="K36" s="90"/>
      <c r="L36" s="58"/>
      <c r="M36" s="264">
        <v>2</v>
      </c>
      <c r="N36" s="264">
        <v>1</v>
      </c>
      <c r="O36" s="160"/>
      <c r="Q36" s="59"/>
      <c r="R36" s="144"/>
      <c r="S36" s="145"/>
      <c r="T36" s="145"/>
      <c r="U36" s="145"/>
      <c r="V36" s="145"/>
      <c r="W36" s="145"/>
      <c r="X36" s="145"/>
      <c r="Y36" s="59"/>
      <c r="Z36" s="59"/>
      <c r="AA36" s="59"/>
      <c r="AB36" s="59"/>
      <c r="AC36" s="59"/>
      <c r="AD36" s="59"/>
      <c r="AE36" s="59"/>
      <c r="AF36" s="59"/>
      <c r="AG36" s="59"/>
    </row>
    <row r="37" spans="1:33" ht="12.95" customHeight="1" x14ac:dyDescent="0.2">
      <c r="B37" s="164">
        <f t="shared" si="3"/>
        <v>22.400000000000006</v>
      </c>
      <c r="C37" s="285" t="s">
        <v>141</v>
      </c>
      <c r="D37" s="286"/>
      <c r="E37" s="18" t="s">
        <v>6</v>
      </c>
      <c r="F37" s="57">
        <v>1</v>
      </c>
      <c r="G37" s="419"/>
      <c r="H37" s="139">
        <f t="shared" si="2"/>
        <v>0</v>
      </c>
      <c r="J37" s="58"/>
      <c r="K37" s="90"/>
      <c r="L37" s="58"/>
      <c r="M37" s="264">
        <v>0</v>
      </c>
      <c r="N37" s="264">
        <v>1</v>
      </c>
      <c r="O37" s="160"/>
      <c r="Q37" s="59"/>
      <c r="R37" s="144"/>
      <c r="S37" s="145"/>
      <c r="T37" s="145"/>
      <c r="U37" s="145"/>
      <c r="V37" s="145"/>
      <c r="W37" s="145"/>
      <c r="X37" s="145"/>
      <c r="Y37" s="59"/>
      <c r="Z37" s="59"/>
      <c r="AA37" s="59"/>
      <c r="AB37" s="59"/>
      <c r="AC37" s="59"/>
      <c r="AD37" s="59"/>
      <c r="AE37" s="59"/>
      <c r="AF37" s="59"/>
      <c r="AG37" s="59"/>
    </row>
    <row r="38" spans="1:33" ht="12.95" customHeight="1" x14ac:dyDescent="0.2">
      <c r="B38" s="164">
        <f t="shared" si="3"/>
        <v>22.500000000000007</v>
      </c>
      <c r="C38" s="285" t="s">
        <v>142</v>
      </c>
      <c r="D38" s="286"/>
      <c r="E38" s="18" t="s">
        <v>6</v>
      </c>
      <c r="F38" s="57">
        <v>2</v>
      </c>
      <c r="G38" s="419"/>
      <c r="H38" s="139">
        <f t="shared" si="2"/>
        <v>0</v>
      </c>
      <c r="J38" s="45"/>
      <c r="K38" s="90"/>
      <c r="L38" s="58"/>
      <c r="M38" s="161"/>
      <c r="N38" s="162"/>
      <c r="Q38" s="59"/>
      <c r="R38" s="144"/>
      <c r="S38" s="145"/>
      <c r="T38" s="145"/>
      <c r="U38" s="145"/>
      <c r="V38" s="145"/>
      <c r="W38" s="145"/>
      <c r="X38" s="145"/>
      <c r="Y38" s="59"/>
      <c r="Z38" s="59"/>
      <c r="AA38" s="59"/>
      <c r="AB38" s="59"/>
      <c r="AC38" s="59"/>
      <c r="AD38" s="59"/>
      <c r="AE38" s="59"/>
      <c r="AF38" s="59"/>
      <c r="AG38" s="59"/>
    </row>
    <row r="39" spans="1:33" ht="12.95" customHeight="1" x14ac:dyDescent="0.2">
      <c r="A39" s="39" t="s">
        <v>59</v>
      </c>
      <c r="B39" s="87">
        <f>B33+1</f>
        <v>23</v>
      </c>
      <c r="C39" s="445" t="s">
        <v>117</v>
      </c>
      <c r="D39" s="446"/>
      <c r="E39" s="18" t="s">
        <v>6</v>
      </c>
      <c r="F39" s="95">
        <f>IF(A92="Yes",1,0)</f>
        <v>1</v>
      </c>
      <c r="G39" s="419"/>
      <c r="H39" s="139">
        <f t="shared" si="2"/>
        <v>0</v>
      </c>
      <c r="J39" s="45"/>
      <c r="N39" s="58"/>
      <c r="Y39" s="59"/>
      <c r="Z39" s="59"/>
      <c r="AA39" s="59"/>
      <c r="AB39" s="59"/>
      <c r="AC39" s="59"/>
      <c r="AD39" s="59"/>
      <c r="AE39" s="59"/>
      <c r="AF39" s="59"/>
      <c r="AG39" s="59"/>
    </row>
    <row r="40" spans="1:33" ht="12.95" customHeight="1" x14ac:dyDescent="0.2">
      <c r="A40" s="39" t="s">
        <v>60</v>
      </c>
      <c r="B40" s="87">
        <f t="shared" si="1"/>
        <v>24</v>
      </c>
      <c r="C40" s="435" t="s">
        <v>202</v>
      </c>
      <c r="D40" s="436"/>
      <c r="E40" s="18" t="s">
        <v>6</v>
      </c>
      <c r="F40" s="95">
        <v>1</v>
      </c>
      <c r="G40" s="419"/>
      <c r="H40" s="139">
        <f t="shared" si="2"/>
        <v>0</v>
      </c>
      <c r="J40" s="159"/>
      <c r="K40" s="59"/>
      <c r="L40" s="58"/>
      <c r="M40" s="58"/>
      <c r="N40" s="160"/>
      <c r="Y40" s="59"/>
      <c r="Z40" s="59"/>
      <c r="AA40" s="59"/>
      <c r="AB40" s="59"/>
      <c r="AC40" s="59"/>
      <c r="AD40" s="59"/>
      <c r="AE40" s="59"/>
      <c r="AF40" s="59"/>
      <c r="AG40" s="59"/>
    </row>
    <row r="41" spans="1:33" ht="12.95" customHeight="1" x14ac:dyDescent="0.2">
      <c r="A41" s="39" t="s">
        <v>61</v>
      </c>
      <c r="B41" s="87">
        <f t="shared" si="1"/>
        <v>25</v>
      </c>
      <c r="C41" s="435" t="s">
        <v>113</v>
      </c>
      <c r="D41" s="436"/>
      <c r="E41" s="18" t="s">
        <v>6</v>
      </c>
      <c r="F41" s="95">
        <v>2</v>
      </c>
      <c r="G41" s="419"/>
      <c r="H41" s="139">
        <f t="shared" si="2"/>
        <v>0</v>
      </c>
      <c r="J41" s="45"/>
      <c r="L41" s="45"/>
      <c r="M41" s="161"/>
      <c r="N41" s="58"/>
      <c r="O41" s="160"/>
      <c r="Y41" s="59"/>
      <c r="Z41" s="59"/>
      <c r="AA41" s="59"/>
      <c r="AB41" s="59"/>
      <c r="AC41" s="59"/>
      <c r="AD41" s="59"/>
      <c r="AE41" s="59"/>
      <c r="AF41" s="59"/>
      <c r="AG41" s="59"/>
    </row>
    <row r="42" spans="1:33" ht="12.95" customHeight="1" x14ac:dyDescent="0.2">
      <c r="B42" s="87">
        <f t="shared" si="1"/>
        <v>26</v>
      </c>
      <c r="C42" s="238" t="s">
        <v>226</v>
      </c>
      <c r="D42" s="240"/>
      <c r="E42" s="231" t="s">
        <v>6</v>
      </c>
      <c r="F42" s="95">
        <v>1</v>
      </c>
      <c r="G42" s="419"/>
      <c r="H42" s="139">
        <f t="shared" si="2"/>
        <v>0</v>
      </c>
      <c r="J42" s="96"/>
      <c r="K42" s="90"/>
      <c r="L42" s="58"/>
      <c r="M42" s="161"/>
      <c r="N42" s="58"/>
      <c r="O42" s="160"/>
      <c r="Y42" s="59"/>
      <c r="Z42" s="59"/>
      <c r="AA42" s="59"/>
      <c r="AB42" s="59"/>
      <c r="AC42" s="59"/>
      <c r="AD42" s="59"/>
      <c r="AE42" s="59"/>
      <c r="AF42" s="59"/>
      <c r="AG42" s="59"/>
    </row>
    <row r="43" spans="1:33" x14ac:dyDescent="0.2">
      <c r="B43" s="87">
        <f>B42+1</f>
        <v>27</v>
      </c>
      <c r="C43" s="435" t="s">
        <v>70</v>
      </c>
      <c r="D43" s="436"/>
      <c r="E43" s="25" t="s">
        <v>6</v>
      </c>
      <c r="F43" s="95">
        <f>IF(A92="Yes",1,0)</f>
        <v>1</v>
      </c>
      <c r="G43" s="419"/>
      <c r="H43" s="139">
        <f t="shared" si="2"/>
        <v>0</v>
      </c>
      <c r="J43" s="96"/>
      <c r="K43" s="90"/>
      <c r="L43" s="58"/>
      <c r="M43" s="161"/>
      <c r="N43" s="58"/>
      <c r="O43" s="160"/>
    </row>
    <row r="44" spans="1:33" x14ac:dyDescent="0.2">
      <c r="A44" s="39" t="s">
        <v>64</v>
      </c>
      <c r="B44" s="87">
        <f t="shared" si="1"/>
        <v>28</v>
      </c>
      <c r="C44" s="435" t="s">
        <v>122</v>
      </c>
      <c r="D44" s="436"/>
      <c r="E44" s="18" t="s">
        <v>6</v>
      </c>
      <c r="F44" s="95">
        <v>1</v>
      </c>
      <c r="G44" s="419"/>
      <c r="H44" s="139">
        <f t="shared" si="2"/>
        <v>0</v>
      </c>
      <c r="J44" s="53"/>
      <c r="K44" s="90"/>
      <c r="L44" s="58"/>
      <c r="M44" s="161"/>
      <c r="N44" s="58"/>
      <c r="O44" s="160"/>
    </row>
    <row r="45" spans="1:33" x14ac:dyDescent="0.2">
      <c r="A45" s="39" t="s">
        <v>65</v>
      </c>
      <c r="B45" s="87">
        <f t="shared" si="1"/>
        <v>29</v>
      </c>
      <c r="C45" s="435" t="s">
        <v>11</v>
      </c>
      <c r="D45" s="436"/>
      <c r="E45" s="18" t="s">
        <v>35</v>
      </c>
      <c r="F45" s="95">
        <v>1</v>
      </c>
      <c r="G45" s="419"/>
      <c r="H45" s="139">
        <f t="shared" si="2"/>
        <v>0</v>
      </c>
      <c r="J45" s="53"/>
      <c r="K45" s="90"/>
      <c r="L45" s="58"/>
      <c r="M45" s="161"/>
      <c r="N45" s="58"/>
      <c r="O45" s="160"/>
    </row>
    <row r="46" spans="1:33" x14ac:dyDescent="0.2">
      <c r="A46" s="39" t="s">
        <v>66</v>
      </c>
      <c r="B46" s="87">
        <f t="shared" si="1"/>
        <v>30</v>
      </c>
      <c r="C46" s="435" t="s">
        <v>269</v>
      </c>
      <c r="D46" s="436"/>
      <c r="E46" s="18" t="s">
        <v>5</v>
      </c>
      <c r="F46" s="95">
        <v>10</v>
      </c>
      <c r="G46" s="419"/>
      <c r="H46" s="139">
        <f t="shared" si="2"/>
        <v>0</v>
      </c>
      <c r="J46" s="58"/>
      <c r="K46" s="90"/>
      <c r="L46" s="58"/>
      <c r="M46" s="161"/>
      <c r="N46" s="58"/>
    </row>
    <row r="47" spans="1:33" ht="12.95" customHeight="1" x14ac:dyDescent="0.2">
      <c r="B47" s="87">
        <f>B46+1</f>
        <v>31</v>
      </c>
      <c r="C47" s="302" t="s">
        <v>223</v>
      </c>
      <c r="D47" s="303"/>
      <c r="E47" s="165"/>
      <c r="F47" s="165"/>
      <c r="G47" s="167"/>
      <c r="H47" s="167"/>
      <c r="J47" s="45"/>
      <c r="N47" s="58"/>
      <c r="Y47" s="59"/>
      <c r="Z47" s="59"/>
      <c r="AA47" s="59"/>
      <c r="AB47" s="59"/>
      <c r="AC47" s="59"/>
      <c r="AD47" s="59"/>
      <c r="AE47" s="59"/>
      <c r="AF47" s="59"/>
      <c r="AG47" s="59"/>
    </row>
    <row r="48" spans="1:33" ht="12.95" customHeight="1" x14ac:dyDescent="0.2">
      <c r="B48" s="87">
        <f t="shared" si="1"/>
        <v>32</v>
      </c>
      <c r="C48" s="238" t="s">
        <v>225</v>
      </c>
      <c r="D48" s="252"/>
      <c r="E48" s="18" t="s">
        <v>6</v>
      </c>
      <c r="F48" s="57">
        <v>1</v>
      </c>
      <c r="G48" s="419"/>
      <c r="H48" s="139">
        <f t="shared" si="2"/>
        <v>0</v>
      </c>
      <c r="Q48" s="72"/>
      <c r="R48" s="63"/>
      <c r="S48" s="58"/>
      <c r="T48" s="59"/>
      <c r="U48" s="58"/>
      <c r="V48" s="72"/>
      <c r="W48" s="63"/>
      <c r="X48" s="63"/>
      <c r="Y48" s="59"/>
      <c r="Z48" s="59"/>
      <c r="AA48" s="59"/>
      <c r="AB48" s="59"/>
      <c r="AC48" s="59"/>
      <c r="AD48" s="59"/>
      <c r="AE48" s="59"/>
      <c r="AF48" s="59"/>
      <c r="AG48" s="59"/>
    </row>
    <row r="49" spans="1:33" ht="12.95" customHeight="1" x14ac:dyDescent="0.2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39">
        <f t="shared" si="2"/>
        <v>0</v>
      </c>
      <c r="Q49" s="72"/>
      <c r="R49" s="63"/>
      <c r="S49" s="58"/>
      <c r="T49" s="59"/>
      <c r="U49" s="58"/>
      <c r="V49" s="72"/>
      <c r="W49" s="63"/>
      <c r="X49" s="63"/>
      <c r="Y49" s="59"/>
      <c r="Z49" s="59"/>
      <c r="AA49" s="59"/>
      <c r="AB49" s="59"/>
      <c r="AC49" s="59"/>
      <c r="AD49" s="59"/>
      <c r="AE49" s="59"/>
      <c r="AF49" s="59"/>
      <c r="AG49" s="59"/>
    </row>
    <row r="50" spans="1:33" ht="12.95" customHeight="1" x14ac:dyDescent="0.2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39">
        <f t="shared" si="2"/>
        <v>0</v>
      </c>
      <c r="N50" s="58"/>
      <c r="O50" s="59"/>
      <c r="P50" s="58"/>
      <c r="Q50" s="72"/>
      <c r="R50" s="63"/>
      <c r="S50" s="58"/>
      <c r="T50" s="59"/>
      <c r="U50" s="58"/>
      <c r="V50" s="72"/>
      <c r="W50" s="63"/>
      <c r="X50" s="63"/>
      <c r="Y50" s="59"/>
      <c r="Z50" s="59"/>
      <c r="AA50" s="59"/>
      <c r="AB50" s="59"/>
      <c r="AC50" s="59"/>
      <c r="AD50" s="59"/>
      <c r="AE50" s="59"/>
      <c r="AF50" s="59"/>
      <c r="AG50" s="59"/>
    </row>
    <row r="51" spans="1:33" ht="12.95" customHeight="1" x14ac:dyDescent="0.2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39">
        <f t="shared" si="2"/>
        <v>0</v>
      </c>
      <c r="J51" s="45"/>
      <c r="K51" s="76"/>
      <c r="L51" s="76"/>
      <c r="M51" s="98"/>
      <c r="N51" s="163"/>
      <c r="O51" s="59"/>
      <c r="P51" s="58"/>
      <c r="Q51" s="72"/>
      <c r="R51" s="63"/>
      <c r="S51" s="58"/>
      <c r="T51" s="59"/>
      <c r="U51" s="58"/>
      <c r="V51" s="72"/>
      <c r="W51" s="63"/>
      <c r="X51" s="63"/>
      <c r="Y51" s="59"/>
      <c r="Z51" s="59"/>
      <c r="AA51" s="59"/>
      <c r="AB51" s="59"/>
      <c r="AC51" s="59"/>
      <c r="AD51" s="59"/>
      <c r="AE51" s="59"/>
      <c r="AF51" s="59"/>
      <c r="AG51" s="59"/>
    </row>
    <row r="52" spans="1:33" ht="12.95" customHeight="1" x14ac:dyDescent="0.2">
      <c r="B52" s="164">
        <f>B51+0.1</f>
        <v>35.1</v>
      </c>
      <c r="C52" s="212" t="s">
        <v>195</v>
      </c>
      <c r="D52" s="213"/>
      <c r="E52" s="210" t="s">
        <v>6</v>
      </c>
      <c r="F52" s="210">
        <v>1</v>
      </c>
      <c r="G52" s="422"/>
      <c r="H52" s="139">
        <f t="shared" si="2"/>
        <v>0</v>
      </c>
      <c r="J52" s="45"/>
      <c r="K52" s="76"/>
      <c r="L52" s="76"/>
      <c r="M52" s="98"/>
      <c r="N52" s="163"/>
      <c r="O52" s="59"/>
      <c r="P52" s="58"/>
      <c r="Q52" s="72"/>
      <c r="R52" s="63"/>
      <c r="S52" s="58"/>
      <c r="T52" s="59"/>
      <c r="U52" s="58"/>
      <c r="V52" s="72"/>
      <c r="W52" s="63"/>
      <c r="X52" s="63"/>
      <c r="Y52" s="59"/>
      <c r="Z52" s="59"/>
      <c r="AA52" s="59"/>
      <c r="AB52" s="59"/>
      <c r="AC52" s="59"/>
      <c r="AD52" s="59"/>
      <c r="AE52" s="59"/>
      <c r="AF52" s="59"/>
      <c r="AG52" s="59"/>
    </row>
    <row r="53" spans="1:33" ht="12.95" customHeight="1" x14ac:dyDescent="0.2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39">
        <f t="shared" si="2"/>
        <v>0</v>
      </c>
      <c r="J53" s="45"/>
      <c r="K53" s="199"/>
      <c r="L53" s="199"/>
      <c r="M53" s="98"/>
      <c r="N53" s="163"/>
      <c r="O53" s="59"/>
      <c r="P53" s="58"/>
      <c r="Q53" s="72"/>
      <c r="R53" s="63"/>
      <c r="S53" s="58"/>
      <c r="T53" s="59"/>
      <c r="U53" s="58"/>
      <c r="V53" s="72"/>
      <c r="W53" s="63"/>
      <c r="X53" s="63"/>
      <c r="Y53" s="59"/>
      <c r="Z53" s="59"/>
      <c r="AA53" s="59"/>
      <c r="AB53" s="59"/>
      <c r="AC53" s="59"/>
      <c r="AD53" s="59"/>
      <c r="AE53" s="59"/>
      <c r="AF53" s="59"/>
      <c r="AG53" s="59"/>
    </row>
    <row r="54" spans="1:33" ht="12.95" customHeight="1" x14ac:dyDescent="0.2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39">
        <f t="shared" si="2"/>
        <v>0</v>
      </c>
      <c r="N54" s="58"/>
      <c r="O54" s="59"/>
      <c r="P54" s="58"/>
      <c r="Q54" s="72"/>
      <c r="R54" s="63"/>
      <c r="S54" s="58"/>
      <c r="T54" s="59"/>
      <c r="U54" s="58"/>
      <c r="V54" s="72"/>
      <c r="W54" s="63"/>
      <c r="X54" s="63"/>
      <c r="Y54" s="59"/>
      <c r="Z54" s="59"/>
      <c r="AA54" s="59"/>
      <c r="AB54" s="59"/>
      <c r="AC54" s="59"/>
      <c r="AD54" s="59"/>
      <c r="AE54" s="59"/>
      <c r="AF54" s="59"/>
      <c r="AG54" s="59"/>
    </row>
    <row r="55" spans="1:33" ht="12.95" customHeight="1" x14ac:dyDescent="0.2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9">
        <f t="shared" si="2"/>
        <v>0</v>
      </c>
      <c r="N55" s="58"/>
      <c r="O55" s="59"/>
      <c r="P55" s="58"/>
      <c r="Q55" s="72"/>
      <c r="R55" s="63"/>
      <c r="S55" s="58"/>
      <c r="T55" s="59"/>
      <c r="U55" s="58"/>
      <c r="V55" s="72"/>
      <c r="W55" s="63"/>
      <c r="X55" s="63"/>
      <c r="Y55" s="59"/>
      <c r="Z55" s="59"/>
      <c r="AA55" s="59"/>
      <c r="AB55" s="59"/>
      <c r="AC55" s="59"/>
      <c r="AD55" s="59"/>
      <c r="AE55" s="59"/>
      <c r="AF55" s="59"/>
      <c r="AG55" s="59"/>
    </row>
    <row r="56" spans="1:33" ht="12.95" customHeight="1" x14ac:dyDescent="0.2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39">
        <f t="shared" si="2"/>
        <v>0</v>
      </c>
      <c r="N56" s="58"/>
      <c r="O56" s="59"/>
      <c r="P56" s="58"/>
      <c r="Q56" s="72"/>
      <c r="R56" s="63"/>
      <c r="S56" s="58"/>
      <c r="T56" s="59"/>
      <c r="U56" s="58"/>
      <c r="V56" s="72"/>
      <c r="W56" s="63"/>
      <c r="X56" s="63"/>
      <c r="Y56" s="59"/>
      <c r="Z56" s="59"/>
      <c r="AA56" s="59"/>
      <c r="AB56" s="59"/>
      <c r="AC56" s="59"/>
      <c r="AD56" s="59"/>
      <c r="AE56" s="59"/>
      <c r="AF56" s="59"/>
      <c r="AG56" s="59"/>
    </row>
    <row r="57" spans="1:33" ht="12.95" customHeight="1" x14ac:dyDescent="0.2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39">
        <f t="shared" si="2"/>
        <v>0</v>
      </c>
      <c r="N57" s="58"/>
      <c r="O57" s="59"/>
      <c r="P57" s="58"/>
      <c r="Q57" s="72"/>
      <c r="R57" s="63"/>
      <c r="S57" s="58"/>
      <c r="T57" s="59"/>
      <c r="U57" s="58"/>
      <c r="V57" s="72"/>
      <c r="W57" s="63"/>
      <c r="X57" s="63"/>
      <c r="Y57" s="59"/>
      <c r="Z57" s="59"/>
      <c r="AA57" s="59"/>
      <c r="AB57" s="59"/>
      <c r="AC57" s="59"/>
      <c r="AD57" s="59"/>
      <c r="AE57" s="59"/>
      <c r="AF57" s="59"/>
      <c r="AG57" s="59"/>
    </row>
    <row r="58" spans="1:33" ht="12.95" customHeight="1" x14ac:dyDescent="0.2">
      <c r="B58" s="87">
        <f t="shared" si="1"/>
        <v>41</v>
      </c>
      <c r="C58" s="212" t="s">
        <v>260</v>
      </c>
      <c r="D58" s="213"/>
      <c r="E58" s="210" t="s">
        <v>35</v>
      </c>
      <c r="F58" s="210">
        <v>1</v>
      </c>
      <c r="G58" s="422"/>
      <c r="H58" s="139">
        <f t="shared" si="2"/>
        <v>0</v>
      </c>
      <c r="N58" s="58"/>
      <c r="O58" s="59"/>
      <c r="P58" s="58"/>
      <c r="Q58" s="72"/>
      <c r="R58" s="63"/>
      <c r="S58" s="58"/>
      <c r="T58" s="59"/>
      <c r="U58" s="58"/>
      <c r="V58" s="72"/>
      <c r="W58" s="63"/>
      <c r="X58" s="63"/>
      <c r="Y58" s="59"/>
      <c r="Z58" s="59"/>
      <c r="AA58" s="59"/>
      <c r="AB58" s="59"/>
      <c r="AC58" s="59"/>
      <c r="AD58" s="59"/>
      <c r="AE58" s="59"/>
      <c r="AF58" s="59"/>
      <c r="AG58" s="59"/>
    </row>
    <row r="59" spans="1:33" ht="12.95" customHeight="1" x14ac:dyDescent="0.2">
      <c r="B59" s="87">
        <f t="shared" si="1"/>
        <v>42</v>
      </c>
      <c r="C59" s="287" t="s">
        <v>119</v>
      </c>
      <c r="D59" s="288"/>
      <c r="E59" s="78" t="s">
        <v>35</v>
      </c>
      <c r="F59" s="95">
        <v>1</v>
      </c>
      <c r="G59" s="421"/>
      <c r="H59" s="139">
        <f t="shared" si="2"/>
        <v>0</v>
      </c>
      <c r="N59" s="58"/>
      <c r="O59" s="59"/>
      <c r="P59" s="58"/>
      <c r="Q59" s="72"/>
      <c r="R59" s="63"/>
      <c r="S59" s="58"/>
      <c r="T59" s="59"/>
      <c r="U59" s="58"/>
      <c r="V59" s="72"/>
      <c r="W59" s="63"/>
      <c r="X59" s="63"/>
      <c r="Y59" s="59"/>
      <c r="Z59" s="59"/>
      <c r="AA59" s="59"/>
      <c r="AB59" s="59"/>
      <c r="AC59" s="59"/>
      <c r="AD59" s="59"/>
      <c r="AE59" s="59"/>
      <c r="AF59" s="59"/>
      <c r="AG59" s="59"/>
    </row>
    <row r="60" spans="1:33" ht="12.95" customHeight="1" x14ac:dyDescent="0.2">
      <c r="B60" s="87">
        <f t="shared" si="1"/>
        <v>43</v>
      </c>
      <c r="C60" s="302" t="s">
        <v>223</v>
      </c>
      <c r="D60" s="303"/>
      <c r="E60" s="165"/>
      <c r="F60" s="165"/>
      <c r="G60" s="167"/>
      <c r="H60" s="167"/>
      <c r="N60" s="58"/>
      <c r="O60" s="59"/>
      <c r="P60" s="58"/>
      <c r="Q60" s="72"/>
      <c r="R60" s="63"/>
      <c r="S60" s="58"/>
      <c r="T60" s="59"/>
      <c r="U60" s="58"/>
      <c r="V60" s="72"/>
      <c r="W60" s="63"/>
      <c r="X60" s="63"/>
      <c r="Y60" s="59"/>
      <c r="Z60" s="59"/>
      <c r="AA60" s="59"/>
      <c r="AB60" s="59"/>
      <c r="AC60" s="59"/>
      <c r="AD60" s="59"/>
      <c r="AE60" s="59"/>
      <c r="AF60" s="59"/>
      <c r="AG60" s="59"/>
    </row>
    <row r="61" spans="1:33" ht="12.95" customHeight="1" x14ac:dyDescent="0.2">
      <c r="A61" s="39" t="s">
        <v>89</v>
      </c>
      <c r="B61" s="87">
        <f>B60+1</f>
        <v>44</v>
      </c>
      <c r="C61" s="281" t="s">
        <v>268</v>
      </c>
      <c r="D61" s="282"/>
      <c r="E61" s="25" t="s">
        <v>9</v>
      </c>
      <c r="F61" s="95">
        <f>ROUNDUP(0.5*E88,0)</f>
        <v>270</v>
      </c>
      <c r="G61" s="419"/>
      <c r="H61" s="139">
        <f t="shared" si="2"/>
        <v>0</v>
      </c>
      <c r="N61" s="58"/>
      <c r="O61" s="59"/>
      <c r="P61" s="58"/>
      <c r="Q61" s="72"/>
      <c r="R61" s="63"/>
      <c r="S61" s="58"/>
      <c r="T61" s="59"/>
      <c r="U61" s="58"/>
      <c r="V61" s="72"/>
      <c r="W61" s="63"/>
      <c r="X61" s="63"/>
      <c r="Y61" s="59"/>
      <c r="Z61" s="59"/>
      <c r="AA61" s="59"/>
      <c r="AB61" s="59"/>
      <c r="AC61" s="59"/>
      <c r="AD61" s="59"/>
      <c r="AE61" s="59"/>
      <c r="AF61" s="59"/>
      <c r="AG61" s="59"/>
    </row>
    <row r="62" spans="1:33" ht="12.95" customHeight="1" x14ac:dyDescent="0.2">
      <c r="A62" s="39" t="s">
        <v>90</v>
      </c>
      <c r="B62" s="87">
        <f>B61+1</f>
        <v>45</v>
      </c>
      <c r="C62" s="281" t="s">
        <v>103</v>
      </c>
      <c r="D62" s="282"/>
      <c r="E62" s="25" t="s">
        <v>73</v>
      </c>
      <c r="F62" s="95">
        <v>100</v>
      </c>
      <c r="G62" s="419"/>
      <c r="H62" s="139">
        <f t="shared" si="2"/>
        <v>0</v>
      </c>
      <c r="N62" s="58"/>
      <c r="O62" s="59"/>
      <c r="P62" s="58"/>
      <c r="Q62" s="72"/>
      <c r="R62" s="63"/>
      <c r="S62" s="58"/>
      <c r="T62" s="59"/>
      <c r="U62" s="58"/>
      <c r="V62" s="72"/>
      <c r="W62" s="63"/>
      <c r="X62" s="63"/>
      <c r="Y62" s="59"/>
      <c r="Z62" s="59"/>
      <c r="AA62" s="59"/>
      <c r="AB62" s="59"/>
      <c r="AC62" s="59"/>
      <c r="AD62" s="59"/>
      <c r="AE62" s="59"/>
      <c r="AF62" s="59"/>
      <c r="AG62" s="59"/>
    </row>
    <row r="63" spans="1:33" ht="12.95" customHeight="1" x14ac:dyDescent="0.2">
      <c r="B63" s="87">
        <f t="shared" si="1"/>
        <v>46</v>
      </c>
      <c r="C63" s="150" t="s">
        <v>125</v>
      </c>
      <c r="D63" s="152"/>
      <c r="E63" s="21" t="s">
        <v>73</v>
      </c>
      <c r="F63" s="95">
        <v>100</v>
      </c>
      <c r="G63" s="423"/>
      <c r="H63" s="139">
        <f t="shared" si="2"/>
        <v>0</v>
      </c>
      <c r="N63" s="58"/>
      <c r="O63" s="59"/>
      <c r="P63" s="58"/>
      <c r="Q63" s="73"/>
      <c r="R63" s="63"/>
      <c r="S63" s="58"/>
      <c r="T63" s="59"/>
      <c r="U63" s="58"/>
      <c r="V63" s="75"/>
      <c r="W63" s="63"/>
      <c r="X63" s="63"/>
      <c r="Y63" s="59"/>
      <c r="Z63" s="59"/>
      <c r="AA63" s="59"/>
      <c r="AB63" s="59"/>
      <c r="AC63" s="59"/>
      <c r="AD63" s="59"/>
      <c r="AE63" s="59"/>
      <c r="AF63" s="59"/>
      <c r="AG63" s="59"/>
    </row>
    <row r="64" spans="1:33" ht="12.95" customHeight="1" x14ac:dyDescent="0.2">
      <c r="A64" s="39" t="s">
        <v>156</v>
      </c>
      <c r="B64" s="87">
        <f>B63+1</f>
        <v>47</v>
      </c>
      <c r="C64" s="302" t="s">
        <v>223</v>
      </c>
      <c r="D64" s="303"/>
      <c r="E64" s="165"/>
      <c r="F64" s="165"/>
      <c r="G64" s="167"/>
      <c r="H64" s="167"/>
      <c r="K64" s="74"/>
      <c r="L64" s="74"/>
      <c r="M64" s="74"/>
      <c r="N64" s="74"/>
      <c r="O64" s="74"/>
      <c r="P64" s="73"/>
      <c r="Q64" s="73"/>
      <c r="R64" s="63"/>
      <c r="S64" s="58"/>
      <c r="T64" s="59"/>
      <c r="U64" s="58"/>
      <c r="V64" s="62"/>
      <c r="W64" s="63"/>
      <c r="X64" s="63"/>
      <c r="Y64" s="59"/>
      <c r="Z64" s="59"/>
      <c r="AA64" s="59"/>
      <c r="AB64" s="59"/>
      <c r="AC64" s="59"/>
      <c r="AD64" s="59"/>
      <c r="AE64" s="59"/>
      <c r="AF64" s="59"/>
      <c r="AG64" s="59"/>
    </row>
    <row r="65" spans="1:11" ht="12.95" customHeight="1" x14ac:dyDescent="0.2">
      <c r="B65" s="87">
        <f>B64+1</f>
        <v>48</v>
      </c>
      <c r="C65" s="192" t="s">
        <v>259</v>
      </c>
      <c r="D65" s="193"/>
      <c r="E65" s="194" t="s">
        <v>6</v>
      </c>
      <c r="F65" s="301">
        <v>4</v>
      </c>
      <c r="G65" s="423"/>
      <c r="H65" s="139">
        <f t="shared" si="2"/>
        <v>0</v>
      </c>
    </row>
    <row r="66" spans="1:11" ht="12.95" customHeight="1" x14ac:dyDescent="0.2">
      <c r="B66" s="87">
        <f t="shared" si="1"/>
        <v>49</v>
      </c>
      <c r="C66" s="302" t="s">
        <v>223</v>
      </c>
      <c r="D66" s="303"/>
      <c r="E66" s="165"/>
      <c r="F66" s="165"/>
      <c r="G66" s="167"/>
      <c r="H66" s="171"/>
    </row>
    <row r="67" spans="1:11" ht="12.95" customHeight="1" x14ac:dyDescent="0.2">
      <c r="B67" s="87">
        <f t="shared" ref="B67:B69" si="4">B66+1</f>
        <v>50</v>
      </c>
      <c r="C67" s="302" t="s">
        <v>223</v>
      </c>
      <c r="D67" s="303"/>
      <c r="E67" s="165"/>
      <c r="F67" s="165"/>
      <c r="G67" s="167"/>
      <c r="H67" s="171"/>
    </row>
    <row r="68" spans="1:11" ht="12.95" customHeight="1" x14ac:dyDescent="0.2">
      <c r="B68" s="87">
        <f t="shared" si="4"/>
        <v>51</v>
      </c>
      <c r="C68" s="302" t="s">
        <v>223</v>
      </c>
      <c r="D68" s="303"/>
      <c r="E68" s="165"/>
      <c r="F68" s="165"/>
      <c r="G68" s="167"/>
      <c r="H68" s="171"/>
    </row>
    <row r="69" spans="1:11" ht="12.95" customHeight="1" x14ac:dyDescent="0.2">
      <c r="B69" s="87">
        <f t="shared" si="4"/>
        <v>52</v>
      </c>
      <c r="C69" s="302" t="s">
        <v>223</v>
      </c>
      <c r="D69" s="303"/>
      <c r="E69" s="165"/>
      <c r="F69" s="165"/>
      <c r="G69" s="167"/>
      <c r="H69" s="171"/>
    </row>
    <row r="70" spans="1:11" ht="12.95" customHeight="1" x14ac:dyDescent="0.2">
      <c r="B70" s="87" t="s">
        <v>261</v>
      </c>
      <c r="C70" s="306" t="s">
        <v>223</v>
      </c>
      <c r="D70" s="307"/>
      <c r="E70" s="308"/>
      <c r="F70" s="372"/>
      <c r="G70" s="310"/>
      <c r="H70" s="170"/>
    </row>
    <row r="71" spans="1:11" ht="12.95" customHeight="1" thickBot="1" x14ac:dyDescent="0.25">
      <c r="B71" s="87"/>
      <c r="C71" s="128"/>
      <c r="D71" s="129"/>
      <c r="E71" s="25"/>
      <c r="F71" s="131"/>
      <c r="G71" s="77"/>
      <c r="H71" s="138"/>
    </row>
    <row r="72" spans="1:11" ht="13.5" thickBot="1" x14ac:dyDescent="0.25">
      <c r="B72" s="100"/>
      <c r="C72" s="466" t="s">
        <v>133</v>
      </c>
      <c r="D72" s="467"/>
      <c r="E72" s="101"/>
      <c r="F72" s="102"/>
      <c r="G72" s="108"/>
      <c r="H72" s="373">
        <f>SUM(H9:H13,H17,H19, H20, H22, H24, H25, H27:H32, H34, H36:H46, H48:H59, H61:H63, H65)</f>
        <v>0</v>
      </c>
    </row>
    <row r="73" spans="1:11" ht="13.5" thickBot="1" x14ac:dyDescent="0.25">
      <c r="B73" s="120">
        <f>'Arnold Palmer Green 1 689'!B95</f>
        <v>63</v>
      </c>
      <c r="C73" s="468" t="s">
        <v>275</v>
      </c>
      <c r="D73" s="469"/>
      <c r="E73" s="103" t="s">
        <v>35</v>
      </c>
      <c r="F73" s="379">
        <v>1</v>
      </c>
      <c r="G73" s="424"/>
      <c r="H73" s="137">
        <f>SUM(F73*G73)</f>
        <v>0</v>
      </c>
      <c r="I73" s="104">
        <v>0.1</v>
      </c>
    </row>
    <row r="74" spans="1:11" ht="12.75" customHeight="1" x14ac:dyDescent="0.2">
      <c r="B74" s="87">
        <f>MAX(B10:B73)+1</f>
        <v>64</v>
      </c>
      <c r="C74" s="287" t="s">
        <v>276</v>
      </c>
      <c r="D74" s="288"/>
      <c r="E74" s="78" t="s">
        <v>35</v>
      </c>
      <c r="F74" s="379">
        <v>1</v>
      </c>
      <c r="G74" s="425"/>
      <c r="H74" s="137">
        <f>SUM(F74*G74)</f>
        <v>0</v>
      </c>
      <c r="I74" s="106">
        <v>0.01</v>
      </c>
    </row>
    <row r="75" spans="1:11" ht="12.75" customHeight="1" thickBot="1" x14ac:dyDescent="0.25">
      <c r="B75" s="87">
        <f>MAX(B11:B74)+1</f>
        <v>65</v>
      </c>
      <c r="C75" s="450" t="s">
        <v>78</v>
      </c>
      <c r="D75" s="451"/>
      <c r="E75" s="78"/>
      <c r="F75" s="201">
        <v>0.1</v>
      </c>
      <c r="G75" s="105"/>
      <c r="H75" s="138">
        <f>SUM(H72*F75)</f>
        <v>0</v>
      </c>
      <c r="I75" s="107"/>
    </row>
    <row r="76" spans="1:11" s="387" customFormat="1" ht="26.25" customHeight="1" thickBot="1" x14ac:dyDescent="0.25">
      <c r="B76" s="382"/>
      <c r="C76" s="462" t="s">
        <v>286</v>
      </c>
      <c r="D76" s="463"/>
      <c r="E76" s="383"/>
      <c r="F76" s="384"/>
      <c r="G76" s="385"/>
      <c r="H76" s="386">
        <f>SUM(H72:H75)</f>
        <v>0</v>
      </c>
    </row>
    <row r="77" spans="1:11" ht="12.75" hidden="1" customHeight="1" x14ac:dyDescent="0.2">
      <c r="C77" s="39" t="s">
        <v>134</v>
      </c>
    </row>
    <row r="78" spans="1:11" ht="12.75" hidden="1" customHeight="1" x14ac:dyDescent="0.2">
      <c r="B78" s="109"/>
    </row>
    <row r="79" spans="1:11" ht="12.75" hidden="1" customHeight="1" x14ac:dyDescent="0.2">
      <c r="A79" s="204"/>
      <c r="B79" s="109" t="s">
        <v>4</v>
      </c>
      <c r="C79" s="39" t="s">
        <v>30</v>
      </c>
    </row>
    <row r="80" spans="1:11" ht="12.75" hidden="1" customHeight="1" x14ac:dyDescent="0.2">
      <c r="A80" s="203" t="s">
        <v>158</v>
      </c>
      <c r="K80" s="40"/>
    </row>
    <row r="81" spans="1:28" ht="12.75" hidden="1" customHeight="1" x14ac:dyDescent="0.25">
      <c r="B81" s="110"/>
      <c r="D81" s="40" t="s">
        <v>92</v>
      </c>
      <c r="E81" s="132">
        <v>128</v>
      </c>
      <c r="F81" s="133" t="s">
        <v>120</v>
      </c>
      <c r="G81" s="134">
        <v>110</v>
      </c>
      <c r="K81" s="89"/>
    </row>
    <row r="82" spans="1:28" ht="12.75" hidden="1" customHeight="1" x14ac:dyDescent="0.25">
      <c r="A82" s="39" t="s">
        <v>38</v>
      </c>
      <c r="B82" s="40"/>
      <c r="D82" s="40" t="s">
        <v>15</v>
      </c>
      <c r="E82" s="111">
        <v>20.5</v>
      </c>
      <c r="F82" s="42" t="s">
        <v>16</v>
      </c>
      <c r="G82" s="43" t="s">
        <v>17</v>
      </c>
      <c r="K82" s="89"/>
      <c r="P82" s="110"/>
      <c r="Q82" s="110"/>
      <c r="R82" s="45"/>
      <c r="S82" s="46"/>
      <c r="T82" s="42"/>
      <c r="U82" s="43"/>
      <c r="V82" s="42"/>
      <c r="Y82" s="89"/>
    </row>
    <row r="83" spans="1:28" ht="12.75" hidden="1" customHeight="1" x14ac:dyDescent="0.25">
      <c r="A83" s="115">
        <v>2</v>
      </c>
      <c r="B83" s="110"/>
      <c r="C83" s="110"/>
      <c r="D83" s="40" t="s">
        <v>18</v>
      </c>
      <c r="E83" s="112">
        <v>-5.0999999999999996</v>
      </c>
      <c r="F83" s="42" t="s">
        <v>16</v>
      </c>
      <c r="G83" s="43">
        <f>(E82-E83)+E90</f>
        <v>25.6</v>
      </c>
      <c r="H83" s="39"/>
      <c r="K83" s="89"/>
      <c r="P83" s="40"/>
      <c r="R83" s="40"/>
      <c r="S83" s="111"/>
      <c r="T83" s="42"/>
      <c r="U83" s="43"/>
      <c r="V83" s="43"/>
      <c r="Y83" s="89"/>
    </row>
    <row r="84" spans="1:28" ht="12.75" hidden="1" customHeight="1" x14ac:dyDescent="0.25">
      <c r="A84" s="42"/>
      <c r="B84" s="110"/>
      <c r="C84" s="110"/>
      <c r="D84" s="40" t="s">
        <v>19</v>
      </c>
      <c r="E84" s="115">
        <v>6</v>
      </c>
      <c r="F84" s="39" t="s">
        <v>20</v>
      </c>
      <c r="K84" s="89"/>
      <c r="O84" s="115"/>
      <c r="P84" s="110"/>
      <c r="Q84" s="110"/>
      <c r="R84" s="40"/>
      <c r="S84" s="112"/>
      <c r="T84" s="42"/>
      <c r="U84" s="42"/>
      <c r="V84" s="42"/>
      <c r="Y84" s="89"/>
    </row>
    <row r="85" spans="1:28" ht="12.75" hidden="1" customHeight="1" x14ac:dyDescent="0.2">
      <c r="A85" s="116" t="s">
        <v>39</v>
      </c>
      <c r="B85" s="110"/>
      <c r="C85" s="110"/>
      <c r="D85" s="40" t="s">
        <v>21</v>
      </c>
      <c r="E85" s="115">
        <v>10</v>
      </c>
      <c r="F85" s="39" t="s">
        <v>20</v>
      </c>
      <c r="O85" s="42"/>
      <c r="P85" s="110"/>
      <c r="Q85" s="110"/>
      <c r="R85" s="40"/>
      <c r="S85" s="115"/>
      <c r="U85" s="42"/>
      <c r="V85" s="42"/>
    </row>
    <row r="86" spans="1:28" ht="12.75" hidden="1" customHeight="1" x14ac:dyDescent="0.2">
      <c r="A86" s="115" t="s">
        <v>41</v>
      </c>
      <c r="B86" s="110"/>
      <c r="C86" s="110"/>
      <c r="D86" s="40" t="s">
        <v>22</v>
      </c>
      <c r="E86" s="115">
        <v>25</v>
      </c>
      <c r="F86" s="42" t="s">
        <v>20</v>
      </c>
      <c r="O86" s="116"/>
      <c r="P86" s="110"/>
      <c r="Q86" s="110"/>
      <c r="R86" s="40"/>
      <c r="S86" s="115"/>
      <c r="U86" s="42"/>
      <c r="V86" s="42"/>
    </row>
    <row r="87" spans="1:28" ht="12.75" hidden="1" customHeight="1" x14ac:dyDescent="0.2">
      <c r="A87" s="42"/>
      <c r="B87" s="110"/>
      <c r="C87" s="110"/>
      <c r="D87" s="40" t="s">
        <v>23</v>
      </c>
      <c r="E87" s="44">
        <f>ROUNDUP(E84^2*3.14/4,0)</f>
        <v>29</v>
      </c>
      <c r="F87" s="42" t="s">
        <v>24</v>
      </c>
      <c r="O87" s="115"/>
      <c r="P87" s="110"/>
      <c r="Q87" s="110"/>
      <c r="R87" s="40"/>
      <c r="S87" s="115"/>
      <c r="T87" s="42"/>
      <c r="U87" s="42"/>
      <c r="V87" s="42"/>
    </row>
    <row r="88" spans="1:28" ht="12.75" hidden="1" customHeight="1" x14ac:dyDescent="0.2">
      <c r="A88" s="42" t="s">
        <v>68</v>
      </c>
      <c r="B88" s="39"/>
      <c r="D88" s="40" t="s">
        <v>25</v>
      </c>
      <c r="E88" s="44">
        <f>ROUNDUP(2*3.14*(E84/2)*((E84/2)+((E82-E83)+E90)),0)</f>
        <v>539</v>
      </c>
      <c r="F88" s="42" t="s">
        <v>24</v>
      </c>
      <c r="O88" s="42"/>
      <c r="P88" s="110"/>
      <c r="Q88" s="110"/>
      <c r="R88" s="40"/>
      <c r="S88" s="44"/>
      <c r="T88" s="42"/>
      <c r="U88" s="42"/>
      <c r="V88" s="42"/>
    </row>
    <row r="89" spans="1:28" ht="12.75" hidden="1" customHeight="1" x14ac:dyDescent="0.25">
      <c r="A89" s="115" t="s">
        <v>40</v>
      </c>
      <c r="D89" s="40" t="s">
        <v>26</v>
      </c>
      <c r="E89" s="44">
        <f>E88-E87*2</f>
        <v>481</v>
      </c>
      <c r="F89" s="42" t="s">
        <v>24</v>
      </c>
      <c r="L89" s="89"/>
      <c r="M89" s="89"/>
      <c r="O89" s="42"/>
      <c r="R89" s="40"/>
      <c r="S89" s="44"/>
      <c r="T89" s="42"/>
      <c r="U89" s="42"/>
      <c r="V89" s="42"/>
    </row>
    <row r="90" spans="1:28" ht="12.75" hidden="1" customHeight="1" x14ac:dyDescent="0.2">
      <c r="A90" s="42"/>
      <c r="B90" s="39"/>
      <c r="D90" s="40" t="s">
        <v>177</v>
      </c>
      <c r="E90" s="111">
        <v>0</v>
      </c>
      <c r="F90" s="42" t="s">
        <v>20</v>
      </c>
      <c r="O90" s="115"/>
      <c r="P90" s="45"/>
      <c r="R90" s="40"/>
      <c r="S90" s="44"/>
      <c r="T90" s="42"/>
      <c r="U90" s="42"/>
      <c r="V90" s="42"/>
    </row>
    <row r="91" spans="1:28" ht="12.75" hidden="1" customHeight="1" x14ac:dyDescent="0.2">
      <c r="A91" s="42" t="s">
        <v>71</v>
      </c>
      <c r="D91" s="40" t="s">
        <v>42</v>
      </c>
      <c r="E91" s="111">
        <v>0</v>
      </c>
      <c r="F91" s="42" t="s">
        <v>20</v>
      </c>
      <c r="O91" s="42"/>
      <c r="R91" s="40"/>
      <c r="S91" s="111"/>
      <c r="T91" s="42"/>
      <c r="U91" s="42"/>
      <c r="V91" s="42"/>
    </row>
    <row r="92" spans="1:28" ht="12.75" hidden="1" customHeight="1" x14ac:dyDescent="0.2">
      <c r="A92" s="115" t="s">
        <v>40</v>
      </c>
      <c r="D92" s="40" t="s">
        <v>43</v>
      </c>
      <c r="E92" s="111">
        <v>0</v>
      </c>
      <c r="F92" s="42" t="s">
        <v>20</v>
      </c>
      <c r="O92" s="42"/>
      <c r="P92" s="45"/>
      <c r="R92" s="40"/>
      <c r="S92" s="111"/>
      <c r="T92" s="42"/>
      <c r="U92" s="42"/>
      <c r="V92" s="42"/>
    </row>
    <row r="93" spans="1:28" ht="12.75" hidden="1" customHeight="1" x14ac:dyDescent="0.2">
      <c r="A93" s="42"/>
      <c r="O93" s="115"/>
      <c r="P93" s="45"/>
      <c r="S93" s="45"/>
      <c r="T93" s="46"/>
      <c r="U93" s="42"/>
      <c r="V93" s="42"/>
      <c r="Z93" s="45"/>
      <c r="AA93" s="111"/>
      <c r="AB93" s="111"/>
    </row>
    <row r="94" spans="1:28" ht="12.75" hidden="1" customHeight="1" x14ac:dyDescent="0.2">
      <c r="A94" s="42" t="s">
        <v>91</v>
      </c>
      <c r="O94" s="42"/>
      <c r="P94" s="45"/>
      <c r="S94" s="45"/>
      <c r="T94" s="46"/>
      <c r="U94" s="42"/>
      <c r="V94" s="42"/>
    </row>
    <row r="95" spans="1:28" ht="12.75" hidden="1" customHeight="1" x14ac:dyDescent="0.25">
      <c r="A95" s="115" t="s">
        <v>40</v>
      </c>
      <c r="C95" s="89"/>
      <c r="D95" s="89"/>
      <c r="E95" s="113" t="s">
        <v>93</v>
      </c>
      <c r="F95" s="113" t="s">
        <v>94</v>
      </c>
      <c r="G95" s="114"/>
      <c r="H95" s="39"/>
      <c r="I95" s="39" t="s">
        <v>101</v>
      </c>
      <c r="J95" s="39" t="s">
        <v>95</v>
      </c>
      <c r="K95" s="39" t="s">
        <v>96</v>
      </c>
      <c r="L95" s="39" t="s">
        <v>102</v>
      </c>
      <c r="O95" s="42"/>
      <c r="P95" s="45"/>
      <c r="Q95" s="132"/>
      <c r="R95" s="133"/>
      <c r="S95" s="134"/>
      <c r="T95" s="89"/>
      <c r="U95" s="89"/>
    </row>
    <row r="96" spans="1:28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89"/>
      <c r="H96" s="39"/>
      <c r="I96" s="45">
        <v>2</v>
      </c>
      <c r="J96" s="113"/>
      <c r="K96" s="113"/>
      <c r="L96" s="111">
        <v>2.0470000000000002</v>
      </c>
      <c r="P96" s="45"/>
      <c r="Q96" s="206"/>
      <c r="R96" s="89"/>
      <c r="S96" s="113"/>
      <c r="T96" s="113"/>
      <c r="U96" s="114"/>
      <c r="W96" s="89"/>
      <c r="X96" s="89"/>
    </row>
    <row r="97" spans="1:26" ht="12.75" hidden="1" customHeight="1" x14ac:dyDescent="0.25">
      <c r="C97" s="40" t="e">
        <f>VLOOKUP(J10,I98:K100,2)</f>
        <v>#N/A</v>
      </c>
      <c r="D97" s="45">
        <f>E81</f>
        <v>128</v>
      </c>
      <c r="E97" s="41" t="e">
        <f>(D97/448.83)/((C97/12)^2*3.14/4)</f>
        <v>#N/A</v>
      </c>
      <c r="F97" s="41" t="e">
        <f>((D97/448.83)/((C97/12)^2*3.14/4))*1.5</f>
        <v>#N/A</v>
      </c>
      <c r="G97" s="89"/>
      <c r="H97" s="39"/>
      <c r="I97" s="45">
        <v>4</v>
      </c>
      <c r="J97" s="111">
        <v>3.89</v>
      </c>
      <c r="K97" s="111">
        <v>4.2699999999999996</v>
      </c>
      <c r="P97" s="45"/>
      <c r="Q97" s="205"/>
      <c r="R97" s="113"/>
      <c r="S97" s="113"/>
      <c r="T97" s="113"/>
      <c r="U97" s="89"/>
      <c r="W97" s="45"/>
      <c r="X97" s="113"/>
      <c r="Y97" s="113"/>
      <c r="Z97" s="111"/>
    </row>
    <row r="98" spans="1:26" ht="12.75" hidden="1" customHeight="1" x14ac:dyDescent="0.25">
      <c r="A98" s="39" t="s">
        <v>40</v>
      </c>
      <c r="C98" s="89"/>
      <c r="D98" s="89"/>
      <c r="E98" s="177" t="e">
        <f xml:space="preserve"> IF(E97&gt;=8,"Upsize","Keep Size")</f>
        <v>#N/A</v>
      </c>
      <c r="F98" s="89"/>
      <c r="G98" s="89"/>
      <c r="H98" s="39"/>
      <c r="I98" s="45">
        <v>6</v>
      </c>
      <c r="J98" s="111">
        <v>5.59</v>
      </c>
      <c r="K98" s="111">
        <v>6.13</v>
      </c>
      <c r="P98" s="45"/>
      <c r="Q98" s="45"/>
      <c r="R98" s="45"/>
      <c r="S98" s="41"/>
      <c r="T98" s="41"/>
      <c r="U98" s="89"/>
      <c r="W98" s="45"/>
      <c r="X98" s="111"/>
      <c r="Y98" s="111"/>
    </row>
    <row r="99" spans="1:26" ht="12.75" hidden="1" customHeight="1" x14ac:dyDescent="0.25">
      <c r="A99" s="39" t="s">
        <v>41</v>
      </c>
      <c r="E99" s="39"/>
      <c r="F99" s="39"/>
      <c r="G99" s="39"/>
      <c r="H99" s="39"/>
      <c r="I99" s="45">
        <v>8</v>
      </c>
      <c r="J99" s="111">
        <v>7.34</v>
      </c>
      <c r="K99" s="111">
        <v>8.0399999999999991</v>
      </c>
      <c r="P99" s="45"/>
      <c r="Q99" s="89"/>
      <c r="R99" s="89"/>
      <c r="S99" s="177"/>
      <c r="T99" s="89"/>
      <c r="U99" s="89"/>
      <c r="W99" s="45"/>
      <c r="X99" s="111"/>
      <c r="Y99" s="111"/>
    </row>
    <row r="100" spans="1:26" ht="12.75" hidden="1" customHeight="1" x14ac:dyDescent="0.2">
      <c r="E100" s="45" t="s">
        <v>160</v>
      </c>
      <c r="F100" s="39"/>
      <c r="G100" s="39"/>
      <c r="H100" s="39"/>
      <c r="I100" s="45">
        <v>10</v>
      </c>
      <c r="J100" s="111">
        <v>8.9600000000000009</v>
      </c>
      <c r="P100" s="45"/>
      <c r="S100" s="45"/>
    </row>
    <row r="101" spans="1:26" ht="12.75" hidden="1" customHeight="1" x14ac:dyDescent="0.2">
      <c r="I101" s="45">
        <v>12</v>
      </c>
      <c r="J101" s="111">
        <v>10.66</v>
      </c>
      <c r="P101" s="45"/>
    </row>
    <row r="102" spans="1:26" ht="12.75" hidden="1" customHeight="1" x14ac:dyDescent="0.2">
      <c r="P102" s="45"/>
      <c r="S102" s="45"/>
      <c r="T102" s="46"/>
    </row>
    <row r="103" spans="1:26" ht="12.75" hidden="1" customHeight="1" x14ac:dyDescent="0.2"/>
    <row r="104" spans="1:26" ht="12.75" hidden="1" customHeight="1" x14ac:dyDescent="0.2"/>
    <row r="105" spans="1:26" hidden="1" x14ac:dyDescent="0.2"/>
  </sheetData>
  <sheetProtection algorithmName="SHA-512" hashValue="82nwGtFLjMc2o0f4zbm/j9LugrRfVBWeIjQczmG/mbuKT0rgyN5f7gEyEaKlOZjeqYnoiq61PkeROYFB0YsZ7Q==" saltValue="KN52zmOUkGDwtpHh8kpxvw==" spinCount="100000" sheet="1" objects="1" scenarios="1" selectLockedCells="1"/>
  <mergeCells count="35">
    <mergeCell ref="B1:C1"/>
    <mergeCell ref="B2:C2"/>
    <mergeCell ref="B3:E3"/>
    <mergeCell ref="B4:C4"/>
    <mergeCell ref="B5:H5"/>
    <mergeCell ref="C24:D24"/>
    <mergeCell ref="C25:D25"/>
    <mergeCell ref="C28:D28"/>
    <mergeCell ref="C12:D12"/>
    <mergeCell ref="B7:H7"/>
    <mergeCell ref="C8:D8"/>
    <mergeCell ref="C9:D9"/>
    <mergeCell ref="C10:D10"/>
    <mergeCell ref="C11:D11"/>
    <mergeCell ref="C13:D13"/>
    <mergeCell ref="C17:D17"/>
    <mergeCell ref="C19:D19"/>
    <mergeCell ref="C20:D20"/>
    <mergeCell ref="C16:D16"/>
    <mergeCell ref="C32:D32"/>
    <mergeCell ref="C44:D44"/>
    <mergeCell ref="C45:D45"/>
    <mergeCell ref="C29:D29"/>
    <mergeCell ref="C31:D31"/>
    <mergeCell ref="C33:D33"/>
    <mergeCell ref="C39:D39"/>
    <mergeCell ref="C30:D30"/>
    <mergeCell ref="C40:D40"/>
    <mergeCell ref="C46:D46"/>
    <mergeCell ref="C41:D41"/>
    <mergeCell ref="C43:D43"/>
    <mergeCell ref="C75:D75"/>
    <mergeCell ref="C76:D76"/>
    <mergeCell ref="C72:D72"/>
    <mergeCell ref="C73:D73"/>
  </mergeCells>
  <dataValidations disablePrompts="1" count="5">
    <dataValidation type="list" allowBlank="1" showInputMessage="1" showErrorMessage="1" sqref="J40 J32" xr:uid="{00000000-0002-0000-0300-000001000000}">
      <formula1>$R$25:$R$29</formula1>
    </dataValidation>
    <dataValidation type="list" allowBlank="1" showInputMessage="1" showErrorMessage="1" sqref="O87 O90 O93" xr:uid="{00000000-0002-0000-0300-000002000000}">
      <formula1>$AE$92:$AE$93</formula1>
    </dataValidation>
    <dataValidation type="list" allowBlank="1" showInputMessage="1" showErrorMessage="1" sqref="J10" xr:uid="{AA0111A7-BEF8-4B76-8AAF-197257E48CC2}">
      <formula1>$I$97:$I$99</formula1>
    </dataValidation>
    <dataValidation type="list" allowBlank="1" showInputMessage="1" showErrorMessage="1" sqref="A86 A89 A92 A95" xr:uid="{43F0C9CD-7EA9-4EF2-8998-1F69ACA2BD09}">
      <formula1>$A$98:$A$99</formula1>
    </dataValidation>
    <dataValidation type="list" allowBlank="1" showInputMessage="1" showErrorMessage="1" sqref="J12" xr:uid="{00000000-0002-0000-03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Roman,Regular"Bidder:___________________
Signature:_________________&amp;C&amp;"Times New Roman,Regular"&amp;10Page &amp;P of &amp;N&amp;R&amp;"Times New Roman,Regular"&amp;8Appendix K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Y106"/>
  <sheetViews>
    <sheetView topLeftCell="B1" zoomScaleNormal="100" zoomScaleSheetLayoutView="100" workbookViewId="0">
      <selection activeCell="G64" sqref="G64"/>
    </sheetView>
  </sheetViews>
  <sheetFormatPr defaultRowHeight="12.75" customHeight="1" x14ac:dyDescent="0.2"/>
  <cols>
    <col min="1" max="1" width="0" style="39" hidden="1" customWidth="1"/>
    <col min="2" max="2" width="6.77734375" style="45" customWidth="1"/>
    <col min="3" max="3" width="29.77734375" style="39" customWidth="1"/>
    <col min="4" max="4" width="11.77734375" style="39" customWidth="1"/>
    <col min="5" max="5" width="6.77734375" style="45" customWidth="1"/>
    <col min="6" max="6" width="6.77734375" style="46" customWidth="1"/>
    <col min="7" max="7" width="9.77734375" style="42" customWidth="1"/>
    <col min="8" max="8" width="13.77734375" style="42" customWidth="1"/>
    <col min="9" max="9" width="3.77734375" style="39" hidden="1" customWidth="1"/>
    <col min="10" max="10" width="5.77734375" style="45" hidden="1" customWidth="1"/>
    <col min="11" max="11" width="6.77734375" style="39" hidden="1" customWidth="1"/>
    <col min="12" max="12" width="8" style="39" hidden="1" customWidth="1"/>
    <col min="13" max="19" width="6.77734375" style="39" hidden="1" customWidth="1"/>
    <col min="20" max="16384" width="8.88671875" style="39"/>
  </cols>
  <sheetData>
    <row r="1" spans="1:19" ht="20.100000000000001" customHeight="1" x14ac:dyDescent="0.25">
      <c r="B1" s="460" t="s">
        <v>271</v>
      </c>
      <c r="C1" s="460"/>
      <c r="D1" s="1"/>
      <c r="E1" s="2"/>
      <c r="F1" s="42"/>
      <c r="H1" s="39"/>
      <c r="I1" s="45"/>
      <c r="J1" s="39"/>
    </row>
    <row r="2" spans="1:19" ht="20.100000000000001" customHeight="1" x14ac:dyDescent="0.25">
      <c r="B2" s="460" t="s">
        <v>272</v>
      </c>
      <c r="C2" s="460"/>
      <c r="D2" s="1"/>
      <c r="E2" s="2"/>
      <c r="F2" s="42"/>
      <c r="H2" s="39"/>
      <c r="I2" s="45"/>
      <c r="J2" s="39"/>
    </row>
    <row r="3" spans="1:19" ht="20.100000000000001" customHeight="1" x14ac:dyDescent="0.25">
      <c r="B3" s="460" t="s">
        <v>274</v>
      </c>
      <c r="C3" s="460"/>
      <c r="D3" s="460"/>
      <c r="E3" s="460"/>
      <c r="F3" s="42"/>
      <c r="H3" s="39"/>
      <c r="I3" s="45"/>
      <c r="J3" s="39"/>
    </row>
    <row r="4" spans="1:19" ht="20.100000000000001" customHeight="1" x14ac:dyDescent="0.25">
      <c r="B4" s="461" t="s">
        <v>273</v>
      </c>
      <c r="C4" s="461"/>
      <c r="D4" s="2"/>
      <c r="E4" s="4"/>
      <c r="F4" s="42"/>
      <c r="H4" s="39"/>
      <c r="I4" s="45"/>
      <c r="J4" s="39"/>
    </row>
    <row r="5" spans="1:19" ht="20.100000000000001" customHeight="1" x14ac:dyDescent="0.2">
      <c r="B5" s="477" t="s">
        <v>284</v>
      </c>
      <c r="C5" s="477"/>
      <c r="D5" s="477"/>
      <c r="E5" s="477"/>
      <c r="F5" s="477"/>
      <c r="G5" s="477"/>
      <c r="H5" s="477"/>
      <c r="I5" s="45"/>
      <c r="J5" s="39"/>
    </row>
    <row r="6" spans="1:19" ht="12.95" customHeight="1" thickBot="1" x14ac:dyDescent="0.25">
      <c r="B6" s="79"/>
      <c r="C6" s="79"/>
      <c r="D6" s="80"/>
      <c r="E6" s="46"/>
      <c r="F6" s="42"/>
      <c r="H6" s="39"/>
      <c r="I6" s="45"/>
      <c r="J6" s="39"/>
    </row>
    <row r="7" spans="1:19" ht="17.100000000000001" customHeight="1" thickBot="1" x14ac:dyDescent="0.25">
      <c r="B7" s="486" t="s">
        <v>280</v>
      </c>
      <c r="C7" s="487"/>
      <c r="D7" s="487"/>
      <c r="E7" s="487"/>
      <c r="F7" s="487"/>
      <c r="G7" s="487"/>
      <c r="H7" s="488"/>
    </row>
    <row r="8" spans="1:19" ht="39" customHeight="1" thickBot="1" x14ac:dyDescent="0.25">
      <c r="B8" s="117" t="s">
        <v>12</v>
      </c>
      <c r="C8" s="475" t="s">
        <v>0</v>
      </c>
      <c r="D8" s="476"/>
      <c r="E8" s="83" t="s">
        <v>123</v>
      </c>
      <c r="F8" s="83" t="s">
        <v>2</v>
      </c>
      <c r="G8" s="83" t="s">
        <v>124</v>
      </c>
      <c r="H8" s="118" t="s">
        <v>14</v>
      </c>
    </row>
    <row r="9" spans="1:19" ht="12.95" customHeight="1" x14ac:dyDescent="0.2">
      <c r="A9" s="39" t="s">
        <v>44</v>
      </c>
      <c r="B9" s="87">
        <v>1</v>
      </c>
      <c r="C9" s="433" t="s">
        <v>8</v>
      </c>
      <c r="D9" s="434"/>
      <c r="E9" s="88" t="s">
        <v>9</v>
      </c>
      <c r="F9" s="209">
        <f>E88</f>
        <v>1153</v>
      </c>
      <c r="G9" s="419"/>
      <c r="H9" s="135">
        <f t="shared" ref="H9:H59" si="0">F9*G9</f>
        <v>0</v>
      </c>
      <c r="J9" s="39"/>
    </row>
    <row r="10" spans="1:19" ht="12.95" customHeight="1" x14ac:dyDescent="0.2">
      <c r="A10" s="39" t="s">
        <v>45</v>
      </c>
      <c r="B10" s="87">
        <f>B9+1</f>
        <v>2</v>
      </c>
      <c r="C10" s="302" t="s">
        <v>223</v>
      </c>
      <c r="D10" s="303"/>
      <c r="E10" s="165"/>
      <c r="F10" s="165"/>
      <c r="G10" s="167"/>
      <c r="H10" s="171"/>
      <c r="J10" s="159">
        <v>10</v>
      </c>
      <c r="K10" s="45"/>
      <c r="L10" s="45"/>
      <c r="M10" s="45"/>
    </row>
    <row r="11" spans="1:19" ht="12.95" customHeight="1" x14ac:dyDescent="0.25">
      <c r="A11" s="39" t="s">
        <v>46</v>
      </c>
      <c r="B11" s="87">
        <f t="shared" ref="B11:B63" si="1">B10+1</f>
        <v>3</v>
      </c>
      <c r="C11" s="435" t="s">
        <v>205</v>
      </c>
      <c r="D11" s="436"/>
      <c r="E11" s="18" t="s">
        <v>6</v>
      </c>
      <c r="F11" s="95">
        <f>A83</f>
        <v>3</v>
      </c>
      <c r="G11" s="419"/>
      <c r="H11" s="135">
        <f t="shared" si="0"/>
        <v>0</v>
      </c>
      <c r="J11" s="39"/>
      <c r="K11" s="45"/>
      <c r="L11" s="45"/>
      <c r="M11" s="45"/>
      <c r="P11" s="58"/>
      <c r="Q11" s="58"/>
      <c r="R11" s="89"/>
      <c r="S11" s="89"/>
    </row>
    <row r="12" spans="1:19" ht="12.95" customHeight="1" x14ac:dyDescent="0.25">
      <c r="A12" s="39" t="s">
        <v>47</v>
      </c>
      <c r="B12" s="87">
        <f t="shared" si="1"/>
        <v>4</v>
      </c>
      <c r="C12" s="435" t="s">
        <v>107</v>
      </c>
      <c r="D12" s="436"/>
      <c r="E12" s="18" t="s">
        <v>6</v>
      </c>
      <c r="F12" s="95">
        <f>A83</f>
        <v>3</v>
      </c>
      <c r="G12" s="419"/>
      <c r="H12" s="135">
        <f t="shared" si="0"/>
        <v>0</v>
      </c>
      <c r="J12" s="52"/>
      <c r="K12" s="90"/>
      <c r="L12" s="58"/>
      <c r="M12" s="58"/>
      <c r="N12" s="58"/>
      <c r="O12" s="91"/>
      <c r="P12" s="45"/>
      <c r="R12" s="92"/>
      <c r="S12" s="92"/>
    </row>
    <row r="13" spans="1:19" ht="12.95" customHeight="1" x14ac:dyDescent="0.25">
      <c r="A13" s="39" t="s">
        <v>48</v>
      </c>
      <c r="B13" s="87">
        <f t="shared" si="1"/>
        <v>5</v>
      </c>
      <c r="C13" s="435" t="s">
        <v>204</v>
      </c>
      <c r="D13" s="436"/>
      <c r="E13" s="18" t="s">
        <v>6</v>
      </c>
      <c r="F13" s="95">
        <f>IF((G83)&lt;18.3,2,2+(ROUNDDOWN(((G83-10.1)/8),0)))</f>
        <v>3</v>
      </c>
      <c r="G13" s="419"/>
      <c r="H13" s="135">
        <f t="shared" si="0"/>
        <v>0</v>
      </c>
      <c r="J13" s="53"/>
      <c r="K13" s="90"/>
      <c r="L13" s="58"/>
      <c r="M13" s="54"/>
      <c r="N13" s="58"/>
      <c r="O13" s="91"/>
      <c r="P13" s="58"/>
      <c r="Q13" s="58"/>
      <c r="R13" s="92"/>
      <c r="S13" s="92"/>
    </row>
    <row r="14" spans="1:19" ht="12.95" customHeight="1" x14ac:dyDescent="0.25">
      <c r="A14" s="39" t="s">
        <v>49</v>
      </c>
      <c r="B14" s="87">
        <f>B13+1</f>
        <v>6</v>
      </c>
      <c r="C14" s="302" t="s">
        <v>223</v>
      </c>
      <c r="D14" s="303"/>
      <c r="E14" s="165"/>
      <c r="F14" s="165"/>
      <c r="G14" s="167"/>
      <c r="H14" s="171"/>
      <c r="J14" s="53"/>
      <c r="K14" s="92"/>
      <c r="L14" s="92"/>
      <c r="M14" s="92"/>
      <c r="N14" s="92"/>
      <c r="O14" s="91"/>
      <c r="P14" s="58"/>
      <c r="Q14" s="58"/>
      <c r="R14" s="92"/>
      <c r="S14" s="92"/>
    </row>
    <row r="15" spans="1:19" ht="12.95" customHeight="1" x14ac:dyDescent="0.25">
      <c r="B15" s="164">
        <f>B14+0.1</f>
        <v>6.1</v>
      </c>
      <c r="C15" s="302" t="s">
        <v>223</v>
      </c>
      <c r="D15" s="303"/>
      <c r="E15" s="165"/>
      <c r="F15" s="165"/>
      <c r="G15" s="167"/>
      <c r="H15" s="171"/>
      <c r="J15" s="53"/>
      <c r="K15" s="92"/>
      <c r="L15" s="92"/>
      <c r="M15" s="92"/>
      <c r="N15" s="92"/>
      <c r="O15" s="91"/>
      <c r="P15" s="58"/>
      <c r="Q15" s="58"/>
      <c r="R15" s="92"/>
      <c r="S15" s="92"/>
    </row>
    <row r="16" spans="1:19" ht="12.95" customHeight="1" x14ac:dyDescent="0.25">
      <c r="B16" s="87">
        <f>B14+1</f>
        <v>7</v>
      </c>
      <c r="C16" s="302" t="s">
        <v>223</v>
      </c>
      <c r="D16" s="303"/>
      <c r="E16" s="165"/>
      <c r="F16" s="165"/>
      <c r="G16" s="167"/>
      <c r="H16" s="171"/>
      <c r="J16" s="53"/>
      <c r="K16" s="92"/>
      <c r="L16" s="92"/>
      <c r="M16" s="92"/>
      <c r="N16" s="92"/>
      <c r="O16" s="91"/>
      <c r="P16" s="58"/>
      <c r="Q16" s="58"/>
      <c r="R16" s="92"/>
      <c r="S16" s="92"/>
    </row>
    <row r="17" spans="1:25" ht="12.95" customHeight="1" x14ac:dyDescent="0.25">
      <c r="A17" s="39" t="s">
        <v>50</v>
      </c>
      <c r="B17" s="164">
        <f>B16+0.1</f>
        <v>7.1</v>
      </c>
      <c r="C17" s="302" t="s">
        <v>223</v>
      </c>
      <c r="D17" s="303"/>
      <c r="E17" s="165"/>
      <c r="F17" s="165"/>
      <c r="G17" s="167"/>
      <c r="H17" s="171"/>
      <c r="J17" s="53"/>
      <c r="K17" s="93"/>
      <c r="L17" s="92"/>
      <c r="M17" s="92"/>
      <c r="N17" s="92"/>
      <c r="O17" s="91"/>
      <c r="P17" s="58"/>
      <c r="Q17" s="58"/>
      <c r="R17" s="92"/>
      <c r="S17" s="92"/>
    </row>
    <row r="18" spans="1:25" ht="12.95" customHeight="1" x14ac:dyDescent="0.25">
      <c r="B18" s="164">
        <f>B17+0.1</f>
        <v>7.1999999999999993</v>
      </c>
      <c r="C18" s="302" t="s">
        <v>223</v>
      </c>
      <c r="D18" s="303"/>
      <c r="E18" s="165"/>
      <c r="F18" s="165"/>
      <c r="G18" s="167"/>
      <c r="H18" s="171"/>
      <c r="J18" s="53"/>
      <c r="K18" s="92"/>
      <c r="L18" s="92"/>
      <c r="M18" s="92"/>
      <c r="N18" s="92"/>
      <c r="O18" s="91"/>
      <c r="P18" s="58"/>
      <c r="Q18" s="58"/>
      <c r="R18" s="92"/>
      <c r="S18" s="92"/>
    </row>
    <row r="19" spans="1:25" ht="12.95" customHeight="1" x14ac:dyDescent="0.25">
      <c r="B19" s="87">
        <f>B16+1</f>
        <v>8</v>
      </c>
      <c r="C19" s="302" t="s">
        <v>223</v>
      </c>
      <c r="D19" s="303"/>
      <c r="E19" s="165"/>
      <c r="F19" s="165"/>
      <c r="G19" s="167"/>
      <c r="H19" s="171"/>
      <c r="J19" s="53"/>
      <c r="K19" s="92"/>
      <c r="L19" s="92"/>
      <c r="M19" s="92"/>
      <c r="N19" s="92"/>
      <c r="O19" s="91"/>
      <c r="P19" s="94"/>
      <c r="Q19" s="92"/>
      <c r="R19" s="92"/>
      <c r="S19" s="92"/>
    </row>
    <row r="20" spans="1:25" ht="12.95" customHeight="1" x14ac:dyDescent="0.25">
      <c r="A20" s="39" t="s">
        <v>51</v>
      </c>
      <c r="B20" s="87">
        <f t="shared" si="1"/>
        <v>9</v>
      </c>
      <c r="C20" s="302" t="s">
        <v>223</v>
      </c>
      <c r="D20" s="303"/>
      <c r="E20" s="165"/>
      <c r="F20" s="165"/>
      <c r="G20" s="167"/>
      <c r="H20" s="171"/>
      <c r="J20" s="53"/>
      <c r="K20" s="92"/>
      <c r="L20" s="92"/>
      <c r="M20" s="255" t="s">
        <v>228</v>
      </c>
      <c r="N20" s="255"/>
      <c r="O20" s="256"/>
      <c r="P20" s="257"/>
      <c r="Q20" s="258"/>
      <c r="R20" s="258"/>
      <c r="S20" s="92"/>
    </row>
    <row r="21" spans="1:25" ht="12.95" customHeight="1" x14ac:dyDescent="0.25">
      <c r="A21" s="39" t="s">
        <v>51</v>
      </c>
      <c r="B21" s="87">
        <f t="shared" si="1"/>
        <v>10</v>
      </c>
      <c r="C21" s="302" t="s">
        <v>223</v>
      </c>
      <c r="D21" s="303"/>
      <c r="E21" s="165"/>
      <c r="F21" s="165"/>
      <c r="G21" s="167"/>
      <c r="H21" s="171"/>
      <c r="J21" s="53"/>
      <c r="K21" s="92"/>
      <c r="L21" s="92"/>
      <c r="M21" s="255" t="s">
        <v>229</v>
      </c>
      <c r="N21" s="255"/>
      <c r="O21" s="259" t="s">
        <v>230</v>
      </c>
      <c r="P21" s="259" t="s">
        <v>231</v>
      </c>
      <c r="Q21" s="258"/>
      <c r="R21" s="258"/>
      <c r="S21" s="92"/>
    </row>
    <row r="22" spans="1:25" ht="12.95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IF(A95="YES",ROUNDUP((G83)*A83,0),0)</f>
        <v>63</v>
      </c>
      <c r="G22" s="420"/>
      <c r="H22" s="135">
        <f t="shared" si="0"/>
        <v>0</v>
      </c>
      <c r="K22" s="59"/>
      <c r="L22" s="58"/>
      <c r="M22" s="210" t="s">
        <v>232</v>
      </c>
      <c r="N22" s="210"/>
      <c r="O22" s="210" t="s">
        <v>233</v>
      </c>
      <c r="P22" s="210" t="s">
        <v>234</v>
      </c>
      <c r="Q22" s="225" t="s">
        <v>235</v>
      </c>
      <c r="R22" s="220"/>
      <c r="S22" s="143"/>
      <c r="T22" s="144"/>
      <c r="U22" s="143"/>
      <c r="V22" s="53"/>
      <c r="W22" s="59"/>
      <c r="X22" s="59"/>
      <c r="Y22" s="59"/>
    </row>
    <row r="23" spans="1:25" ht="12.95" customHeight="1" x14ac:dyDescent="0.2">
      <c r="A23" s="39" t="s">
        <v>53</v>
      </c>
      <c r="B23" s="87">
        <f t="shared" si="1"/>
        <v>12</v>
      </c>
      <c r="C23" s="302" t="s">
        <v>223</v>
      </c>
      <c r="D23" s="303"/>
      <c r="E23" s="165"/>
      <c r="F23" s="165"/>
      <c r="G23" s="167"/>
      <c r="H23" s="171"/>
      <c r="K23" s="59"/>
      <c r="L23" s="161"/>
      <c r="M23" s="210" t="s">
        <v>236</v>
      </c>
      <c r="N23" s="210"/>
      <c r="O23" s="210" t="s">
        <v>237</v>
      </c>
      <c r="P23" s="210" t="s">
        <v>238</v>
      </c>
      <c r="Q23" s="225" t="s">
        <v>235</v>
      </c>
      <c r="R23" s="260"/>
      <c r="S23" s="145"/>
      <c r="T23" s="145"/>
      <c r="U23" s="145"/>
      <c r="V23" s="145"/>
      <c r="W23" s="49"/>
      <c r="X23" s="49"/>
      <c r="Y23" s="59"/>
    </row>
    <row r="24" spans="1:25" ht="12.95" customHeight="1" x14ac:dyDescent="0.2">
      <c r="A24" s="39" t="s">
        <v>67</v>
      </c>
      <c r="B24" s="87">
        <f t="shared" si="1"/>
        <v>13</v>
      </c>
      <c r="C24" s="450" t="s">
        <v>37</v>
      </c>
      <c r="D24" s="451"/>
      <c r="E24" s="78" t="s">
        <v>9</v>
      </c>
      <c r="F24" s="208">
        <f>IF(A89="NO",0,E88)</f>
        <v>1153</v>
      </c>
      <c r="G24" s="421"/>
      <c r="H24" s="135">
        <f t="shared" si="0"/>
        <v>0</v>
      </c>
      <c r="J24" s="96"/>
      <c r="K24" s="90"/>
      <c r="L24" s="174"/>
      <c r="M24" s="210" t="s">
        <v>239</v>
      </c>
      <c r="N24" s="210"/>
      <c r="O24" s="210" t="s">
        <v>240</v>
      </c>
      <c r="P24" s="210" t="s">
        <v>241</v>
      </c>
      <c r="Q24" s="220"/>
      <c r="R24" s="226"/>
      <c r="S24" s="196"/>
      <c r="T24" s="196"/>
      <c r="U24" s="196"/>
      <c r="V24" s="196"/>
      <c r="W24" s="49"/>
      <c r="X24" s="49"/>
      <c r="Y24" s="59"/>
    </row>
    <row r="25" spans="1:25" ht="12.95" customHeight="1" x14ac:dyDescent="0.2">
      <c r="B25" s="87">
        <f t="shared" si="1"/>
        <v>14</v>
      </c>
      <c r="C25" s="435" t="s">
        <v>206</v>
      </c>
      <c r="D25" s="436"/>
      <c r="E25" s="18" t="s">
        <v>9</v>
      </c>
      <c r="F25" s="427">
        <f>F24</f>
        <v>1153</v>
      </c>
      <c r="G25" s="419"/>
      <c r="H25" s="135">
        <f t="shared" si="0"/>
        <v>0</v>
      </c>
      <c r="J25" s="96"/>
      <c r="K25" s="90"/>
      <c r="L25" s="174"/>
      <c r="M25" s="210" t="s">
        <v>239</v>
      </c>
      <c r="N25" s="261"/>
      <c r="O25" s="210" t="s">
        <v>242</v>
      </c>
      <c r="P25" s="210" t="s">
        <v>243</v>
      </c>
      <c r="Q25" s="220"/>
      <c r="R25" s="226"/>
      <c r="S25" s="145"/>
      <c r="T25" s="145"/>
      <c r="U25" s="145"/>
      <c r="V25" s="145"/>
      <c r="W25" s="49"/>
      <c r="X25" s="49"/>
      <c r="Y25" s="59"/>
    </row>
    <row r="26" spans="1:25" ht="12.95" customHeight="1" x14ac:dyDescent="0.2">
      <c r="A26" s="39" t="s">
        <v>54</v>
      </c>
      <c r="B26" s="87">
        <f t="shared" si="1"/>
        <v>15</v>
      </c>
      <c r="C26" s="302" t="s">
        <v>223</v>
      </c>
      <c r="D26" s="303"/>
      <c r="E26" s="165"/>
      <c r="F26" s="165"/>
      <c r="G26" s="167"/>
      <c r="H26" s="171"/>
      <c r="J26" s="53"/>
      <c r="K26" s="90"/>
      <c r="L26" s="174"/>
      <c r="M26" s="262" t="s">
        <v>244</v>
      </c>
      <c r="N26" s="210"/>
      <c r="O26" s="210" t="s">
        <v>245</v>
      </c>
      <c r="P26" s="210" t="s">
        <v>246</v>
      </c>
      <c r="Q26" s="220"/>
      <c r="R26" s="260"/>
      <c r="S26" s="145"/>
      <c r="T26" s="145"/>
      <c r="U26" s="145"/>
      <c r="V26" s="145"/>
      <c r="W26" s="49"/>
      <c r="X26" s="49"/>
      <c r="Y26" s="59"/>
    </row>
    <row r="27" spans="1:25" ht="12.95" customHeight="1" x14ac:dyDescent="0.2">
      <c r="B27" s="87">
        <f t="shared" si="1"/>
        <v>16</v>
      </c>
      <c r="C27" s="302" t="s">
        <v>223</v>
      </c>
      <c r="D27" s="303"/>
      <c r="E27" s="165"/>
      <c r="F27" s="165"/>
      <c r="G27" s="167"/>
      <c r="H27" s="171"/>
      <c r="J27" s="53"/>
      <c r="K27" s="90"/>
      <c r="L27" s="174"/>
      <c r="M27" s="262" t="s">
        <v>247</v>
      </c>
      <c r="N27" s="210"/>
      <c r="O27" s="210" t="s">
        <v>248</v>
      </c>
      <c r="P27" s="210" t="s">
        <v>249</v>
      </c>
      <c r="Q27" s="220"/>
      <c r="R27" s="260"/>
      <c r="S27" s="145"/>
      <c r="T27" s="145"/>
      <c r="U27" s="145"/>
      <c r="V27" s="145"/>
      <c r="W27" s="49"/>
      <c r="X27" s="49"/>
      <c r="Y27" s="59"/>
    </row>
    <row r="28" spans="1:25" ht="12.95" customHeight="1" x14ac:dyDescent="0.2">
      <c r="A28" s="39" t="s">
        <v>55</v>
      </c>
      <c r="B28" s="87">
        <f t="shared" si="1"/>
        <v>17</v>
      </c>
      <c r="C28" s="302" t="s">
        <v>223</v>
      </c>
      <c r="D28" s="303"/>
      <c r="E28" s="165"/>
      <c r="F28" s="165"/>
      <c r="G28" s="167"/>
      <c r="H28" s="171"/>
      <c r="J28" s="58"/>
      <c r="K28" s="90"/>
      <c r="L28" s="174"/>
      <c r="M28" s="161"/>
      <c r="N28" s="58"/>
      <c r="O28" s="160"/>
      <c r="Q28" s="59"/>
      <c r="R28" s="144"/>
      <c r="S28" s="145"/>
      <c r="T28" s="145"/>
      <c r="U28" s="145"/>
      <c r="V28" s="145"/>
      <c r="W28" s="49"/>
      <c r="X28" s="49"/>
      <c r="Y28" s="59"/>
    </row>
    <row r="29" spans="1:25" ht="12.95" customHeight="1" x14ac:dyDescent="0.2">
      <c r="A29" s="39" t="s">
        <v>56</v>
      </c>
      <c r="B29" s="87">
        <f t="shared" si="1"/>
        <v>18</v>
      </c>
      <c r="C29" s="302" t="s">
        <v>223</v>
      </c>
      <c r="D29" s="303"/>
      <c r="E29" s="165"/>
      <c r="F29" s="165"/>
      <c r="G29" s="167"/>
      <c r="H29" s="171"/>
      <c r="K29" s="90"/>
      <c r="L29" s="174"/>
      <c r="M29" s="161"/>
      <c r="N29" s="58"/>
      <c r="O29" s="160"/>
      <c r="Q29" s="59"/>
      <c r="R29" s="144"/>
      <c r="S29" s="145"/>
      <c r="T29" s="145"/>
      <c r="U29" s="145"/>
      <c r="V29" s="145"/>
      <c r="W29" s="49"/>
      <c r="X29" s="49"/>
      <c r="Y29" s="59"/>
    </row>
    <row r="30" spans="1:25" ht="12.95" customHeight="1" x14ac:dyDescent="0.2">
      <c r="A30" s="39" t="s">
        <v>121</v>
      </c>
      <c r="B30" s="87">
        <f t="shared" si="1"/>
        <v>19</v>
      </c>
      <c r="C30" s="302" t="s">
        <v>223</v>
      </c>
      <c r="D30" s="303"/>
      <c r="E30" s="165"/>
      <c r="F30" s="165"/>
      <c r="G30" s="167"/>
      <c r="H30" s="171"/>
      <c r="J30" s="39"/>
      <c r="K30" s="59"/>
      <c r="L30" s="174"/>
      <c r="M30" s="161"/>
      <c r="N30" s="58"/>
      <c r="O30" s="160"/>
      <c r="Q30" s="59"/>
      <c r="R30" s="59"/>
      <c r="S30" s="59"/>
      <c r="T30" s="59"/>
      <c r="U30" s="59"/>
      <c r="V30" s="59"/>
      <c r="W30" s="59"/>
      <c r="X30" s="59"/>
      <c r="Y30" s="59"/>
    </row>
    <row r="31" spans="1:25" ht="12.95" customHeight="1" x14ac:dyDescent="0.2">
      <c r="A31" s="39" t="s">
        <v>57</v>
      </c>
      <c r="B31" s="87">
        <f t="shared" si="1"/>
        <v>20</v>
      </c>
      <c r="C31" s="302" t="s">
        <v>223</v>
      </c>
      <c r="D31" s="303"/>
      <c r="E31" s="165"/>
      <c r="F31" s="165"/>
      <c r="G31" s="167"/>
      <c r="H31" s="171"/>
      <c r="K31" s="59"/>
      <c r="L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1:25" ht="12.95" customHeight="1" x14ac:dyDescent="0.25">
      <c r="A32" s="39" t="s">
        <v>63</v>
      </c>
      <c r="B32" s="87">
        <f t="shared" si="1"/>
        <v>21</v>
      </c>
      <c r="C32" s="302" t="s">
        <v>223</v>
      </c>
      <c r="D32" s="303"/>
      <c r="E32" s="165"/>
      <c r="F32" s="165"/>
      <c r="G32" s="167"/>
      <c r="H32" s="171"/>
      <c r="J32" s="159"/>
      <c r="K32" s="59"/>
      <c r="L32" s="58"/>
      <c r="M32" s="58"/>
      <c r="N32" s="160"/>
      <c r="Q32" s="197"/>
      <c r="R32" s="198"/>
      <c r="S32" s="143"/>
      <c r="T32" s="144"/>
      <c r="U32" s="143"/>
      <c r="V32" s="53"/>
      <c r="W32" s="59"/>
      <c r="X32" s="59"/>
      <c r="Y32" s="59"/>
    </row>
    <row r="33" spans="1:25" ht="12.95" customHeight="1" x14ac:dyDescent="0.2">
      <c r="A33" s="39" t="s">
        <v>58</v>
      </c>
      <c r="B33" s="87">
        <f>B32+1</f>
        <v>22</v>
      </c>
      <c r="C33" s="302" t="s">
        <v>223</v>
      </c>
      <c r="D33" s="303"/>
      <c r="E33" s="165"/>
      <c r="F33" s="165"/>
      <c r="G33" s="167"/>
      <c r="H33" s="171"/>
      <c r="J33" s="96"/>
      <c r="K33" s="90"/>
      <c r="L33" s="58"/>
      <c r="M33" s="263" t="s">
        <v>250</v>
      </c>
      <c r="N33" s="226" t="s">
        <v>251</v>
      </c>
      <c r="O33" s="160"/>
      <c r="Q33" s="59"/>
      <c r="R33" s="145"/>
      <c r="S33" s="196"/>
      <c r="T33" s="196"/>
      <c r="U33" s="196"/>
      <c r="V33" s="196"/>
      <c r="W33" s="53"/>
      <c r="X33" s="53"/>
      <c r="Y33" s="59"/>
    </row>
    <row r="34" spans="1:25" ht="12.95" customHeight="1" x14ac:dyDescent="0.2">
      <c r="B34" s="164">
        <f>B33+0.1</f>
        <v>22.1</v>
      </c>
      <c r="C34" s="302" t="s">
        <v>223</v>
      </c>
      <c r="D34" s="303"/>
      <c r="E34" s="165"/>
      <c r="F34" s="165"/>
      <c r="G34" s="167"/>
      <c r="H34" s="171"/>
      <c r="J34" s="53"/>
      <c r="K34" s="90"/>
      <c r="L34" s="58"/>
      <c r="M34" s="264">
        <v>0</v>
      </c>
      <c r="N34" s="264">
        <v>2</v>
      </c>
      <c r="O34" s="160"/>
      <c r="Q34" s="59"/>
      <c r="R34" s="145"/>
      <c r="S34" s="145"/>
      <c r="T34" s="145"/>
      <c r="U34" s="145"/>
      <c r="V34" s="145"/>
      <c r="W34" s="145"/>
      <c r="X34" s="145"/>
      <c r="Y34" s="59"/>
    </row>
    <row r="35" spans="1:25" ht="12.95" customHeight="1" x14ac:dyDescent="0.2">
      <c r="B35" s="164">
        <f t="shared" ref="B35:B38" si="2">B34+0.1</f>
        <v>22.200000000000003</v>
      </c>
      <c r="C35" s="302" t="s">
        <v>223</v>
      </c>
      <c r="D35" s="303"/>
      <c r="E35" s="165"/>
      <c r="F35" s="165"/>
      <c r="G35" s="167"/>
      <c r="H35" s="171"/>
      <c r="J35" s="53"/>
      <c r="K35" s="90"/>
      <c r="L35" s="58"/>
      <c r="M35" s="264">
        <v>1</v>
      </c>
      <c r="N35" s="264">
        <v>0</v>
      </c>
      <c r="O35" s="160"/>
      <c r="Q35" s="59"/>
      <c r="R35" s="144"/>
      <c r="S35" s="145"/>
      <c r="T35" s="145"/>
      <c r="U35" s="145"/>
      <c r="V35" s="145"/>
      <c r="W35" s="145"/>
      <c r="X35" s="145"/>
      <c r="Y35" s="59"/>
    </row>
    <row r="36" spans="1:25" ht="12.95" customHeight="1" x14ac:dyDescent="0.2">
      <c r="B36" s="164">
        <f t="shared" si="2"/>
        <v>22.300000000000004</v>
      </c>
      <c r="C36" s="302" t="s">
        <v>223</v>
      </c>
      <c r="D36" s="303"/>
      <c r="E36" s="165"/>
      <c r="F36" s="165"/>
      <c r="G36" s="167"/>
      <c r="H36" s="171"/>
      <c r="J36" s="58"/>
      <c r="K36" s="90"/>
      <c r="L36" s="58"/>
      <c r="M36" s="264">
        <v>2</v>
      </c>
      <c r="N36" s="264">
        <v>1</v>
      </c>
      <c r="O36" s="160"/>
      <c r="Q36" s="59"/>
      <c r="R36" s="144"/>
      <c r="S36" s="145"/>
      <c r="T36" s="145"/>
      <c r="U36" s="145"/>
      <c r="V36" s="145"/>
      <c r="W36" s="145"/>
      <c r="X36" s="145"/>
      <c r="Y36" s="59"/>
    </row>
    <row r="37" spans="1:25" ht="12.95" customHeight="1" x14ac:dyDescent="0.2">
      <c r="B37" s="164">
        <f t="shared" si="2"/>
        <v>22.400000000000006</v>
      </c>
      <c r="C37" s="302" t="s">
        <v>223</v>
      </c>
      <c r="D37" s="303"/>
      <c r="E37" s="165"/>
      <c r="F37" s="165"/>
      <c r="G37" s="167"/>
      <c r="H37" s="171"/>
      <c r="K37" s="90"/>
      <c r="L37" s="58"/>
      <c r="M37" s="264">
        <v>0</v>
      </c>
      <c r="N37" s="264">
        <v>1</v>
      </c>
      <c r="O37" s="160"/>
      <c r="Q37" s="59"/>
      <c r="R37" s="144"/>
      <c r="S37" s="145"/>
      <c r="T37" s="145"/>
      <c r="U37" s="145"/>
      <c r="V37" s="145"/>
      <c r="W37" s="145"/>
      <c r="X37" s="145"/>
      <c r="Y37" s="59"/>
    </row>
    <row r="38" spans="1:25" ht="12.95" customHeight="1" x14ac:dyDescent="0.2">
      <c r="B38" s="164">
        <f t="shared" si="2"/>
        <v>22.500000000000007</v>
      </c>
      <c r="C38" s="302" t="s">
        <v>223</v>
      </c>
      <c r="D38" s="303"/>
      <c r="E38" s="165"/>
      <c r="F38" s="165"/>
      <c r="G38" s="167"/>
      <c r="H38" s="171"/>
      <c r="K38" s="90"/>
      <c r="L38" s="58"/>
      <c r="M38" s="161"/>
      <c r="N38" s="162"/>
      <c r="Q38" s="59"/>
      <c r="R38" s="144"/>
      <c r="S38" s="145"/>
      <c r="T38" s="145"/>
      <c r="U38" s="145"/>
      <c r="V38" s="145"/>
      <c r="W38" s="145"/>
      <c r="X38" s="145"/>
      <c r="Y38" s="59"/>
    </row>
    <row r="39" spans="1:25" ht="12.95" customHeight="1" x14ac:dyDescent="0.2">
      <c r="A39" s="39" t="s">
        <v>59</v>
      </c>
      <c r="B39" s="87">
        <f>B33+1</f>
        <v>23</v>
      </c>
      <c r="C39" s="302" t="s">
        <v>223</v>
      </c>
      <c r="D39" s="303"/>
      <c r="E39" s="165"/>
      <c r="F39" s="165"/>
      <c r="G39" s="167"/>
      <c r="H39" s="171"/>
      <c r="J39" s="159"/>
      <c r="N39" s="58"/>
    </row>
    <row r="40" spans="1:25" ht="12.95" customHeight="1" x14ac:dyDescent="0.2">
      <c r="A40" s="39" t="s">
        <v>60</v>
      </c>
      <c r="B40" s="87">
        <f t="shared" si="1"/>
        <v>24</v>
      </c>
      <c r="C40" s="302" t="s">
        <v>223</v>
      </c>
      <c r="D40" s="303"/>
      <c r="E40" s="165"/>
      <c r="F40" s="165"/>
      <c r="G40" s="167"/>
      <c r="H40" s="171"/>
      <c r="K40" s="59"/>
      <c r="L40" s="58"/>
      <c r="M40" s="58"/>
      <c r="N40" s="160"/>
    </row>
    <row r="41" spans="1:25" ht="12.95" customHeight="1" x14ac:dyDescent="0.2">
      <c r="A41" s="39" t="s">
        <v>61</v>
      </c>
      <c r="B41" s="87">
        <f t="shared" si="1"/>
        <v>25</v>
      </c>
      <c r="C41" s="302" t="s">
        <v>223</v>
      </c>
      <c r="D41" s="303"/>
      <c r="E41" s="165"/>
      <c r="F41" s="165"/>
      <c r="G41" s="167"/>
      <c r="H41" s="171"/>
      <c r="J41" s="96"/>
      <c r="L41" s="45"/>
      <c r="M41" s="161"/>
      <c r="N41" s="58"/>
      <c r="O41" s="160"/>
    </row>
    <row r="42" spans="1:25" ht="12.95" customHeight="1" x14ac:dyDescent="0.2">
      <c r="B42" s="87">
        <f t="shared" si="1"/>
        <v>26</v>
      </c>
      <c r="C42" s="302" t="s">
        <v>223</v>
      </c>
      <c r="D42" s="303"/>
      <c r="E42" s="165"/>
      <c r="F42" s="165"/>
      <c r="G42" s="167"/>
      <c r="H42" s="171"/>
      <c r="J42" s="96"/>
      <c r="K42" s="90"/>
      <c r="L42" s="58"/>
      <c r="M42" s="161"/>
      <c r="N42" s="58"/>
      <c r="O42" s="160"/>
    </row>
    <row r="43" spans="1:25" ht="12.75" customHeight="1" x14ac:dyDescent="0.2">
      <c r="B43" s="87">
        <f>B42+1</f>
        <v>27</v>
      </c>
      <c r="C43" s="302" t="s">
        <v>223</v>
      </c>
      <c r="D43" s="303"/>
      <c r="E43" s="165"/>
      <c r="F43" s="165"/>
      <c r="G43" s="167"/>
      <c r="H43" s="171"/>
      <c r="J43" s="53"/>
      <c r="K43" s="90"/>
      <c r="L43" s="58"/>
      <c r="M43" s="161"/>
      <c r="N43" s="58"/>
      <c r="O43" s="160"/>
    </row>
    <row r="44" spans="1:25" ht="12.75" customHeight="1" x14ac:dyDescent="0.2">
      <c r="A44" s="39" t="s">
        <v>64</v>
      </c>
      <c r="B44" s="87">
        <f t="shared" si="1"/>
        <v>28</v>
      </c>
      <c r="C44" s="435" t="s">
        <v>207</v>
      </c>
      <c r="D44" s="436"/>
      <c r="E44" s="18" t="s">
        <v>6</v>
      </c>
      <c r="F44" s="76">
        <v>1</v>
      </c>
      <c r="G44" s="419"/>
      <c r="H44" s="135">
        <f t="shared" si="0"/>
        <v>0</v>
      </c>
      <c r="J44" s="53"/>
      <c r="K44" s="90"/>
      <c r="L44" s="58"/>
      <c r="M44" s="161"/>
      <c r="N44" s="58"/>
      <c r="O44" s="160"/>
    </row>
    <row r="45" spans="1:25" ht="12.75" customHeight="1" x14ac:dyDescent="0.2">
      <c r="A45" s="39" t="s">
        <v>65</v>
      </c>
      <c r="B45" s="87">
        <f t="shared" si="1"/>
        <v>29</v>
      </c>
      <c r="C45" s="435" t="s">
        <v>11</v>
      </c>
      <c r="D45" s="436"/>
      <c r="E45" s="18" t="s">
        <v>35</v>
      </c>
      <c r="F45" s="76">
        <v>1</v>
      </c>
      <c r="G45" s="419"/>
      <c r="H45" s="135">
        <f t="shared" si="0"/>
        <v>0</v>
      </c>
      <c r="J45" s="58"/>
      <c r="K45" s="90"/>
      <c r="L45" s="58"/>
      <c r="M45" s="161"/>
      <c r="N45" s="58"/>
      <c r="O45" s="160"/>
    </row>
    <row r="46" spans="1:25" ht="12.75" customHeight="1" x14ac:dyDescent="0.2">
      <c r="A46" s="39" t="s">
        <v>66</v>
      </c>
      <c r="B46" s="87">
        <f t="shared" si="1"/>
        <v>30</v>
      </c>
      <c r="C46" s="302" t="s">
        <v>223</v>
      </c>
      <c r="D46" s="303"/>
      <c r="E46" s="165"/>
      <c r="F46" s="165"/>
      <c r="G46" s="167"/>
      <c r="H46" s="171"/>
      <c r="K46" s="90"/>
      <c r="L46" s="58"/>
      <c r="M46" s="161"/>
      <c r="N46" s="58"/>
    </row>
    <row r="47" spans="1:25" ht="12.95" customHeight="1" x14ac:dyDescent="0.2">
      <c r="B47" s="87">
        <f>B46+1</f>
        <v>31</v>
      </c>
      <c r="C47" s="302" t="s">
        <v>223</v>
      </c>
      <c r="D47" s="303"/>
      <c r="E47" s="165"/>
      <c r="F47" s="165"/>
      <c r="G47" s="167"/>
      <c r="H47" s="171"/>
      <c r="J47" s="39"/>
      <c r="N47" s="58"/>
    </row>
    <row r="48" spans="1:25" ht="12.95" customHeight="1" x14ac:dyDescent="0.2">
      <c r="B48" s="87">
        <f t="shared" si="1"/>
        <v>32</v>
      </c>
      <c r="C48" s="302" t="s">
        <v>223</v>
      </c>
      <c r="D48" s="303"/>
      <c r="E48" s="165"/>
      <c r="F48" s="165"/>
      <c r="G48" s="167"/>
      <c r="H48" s="171"/>
      <c r="J48" s="39"/>
      <c r="Q48" s="72"/>
      <c r="R48" s="63"/>
      <c r="S48" s="58"/>
      <c r="T48" s="59"/>
      <c r="U48" s="58"/>
      <c r="V48" s="72"/>
      <c r="W48" s="63"/>
      <c r="X48" s="63"/>
    </row>
    <row r="49" spans="1:24" ht="12.95" customHeight="1" x14ac:dyDescent="0.2">
      <c r="A49" s="39" t="s">
        <v>80</v>
      </c>
      <c r="B49" s="87">
        <f t="shared" si="1"/>
        <v>33</v>
      </c>
      <c r="C49" s="302" t="s">
        <v>223</v>
      </c>
      <c r="D49" s="303"/>
      <c r="E49" s="165"/>
      <c r="F49" s="165"/>
      <c r="G49" s="167"/>
      <c r="H49" s="171"/>
      <c r="J49" s="39"/>
      <c r="Q49" s="72"/>
      <c r="R49" s="63"/>
      <c r="S49" s="58"/>
      <c r="T49" s="59"/>
      <c r="U49" s="58"/>
      <c r="V49" s="72"/>
      <c r="W49" s="63"/>
      <c r="X49" s="63"/>
    </row>
    <row r="50" spans="1:24" ht="12.95" customHeight="1" x14ac:dyDescent="0.2">
      <c r="A50" s="39" t="s">
        <v>81</v>
      </c>
      <c r="B50" s="87">
        <f t="shared" si="1"/>
        <v>34</v>
      </c>
      <c r="C50" s="302" t="s">
        <v>223</v>
      </c>
      <c r="D50" s="303"/>
      <c r="E50" s="165"/>
      <c r="F50" s="165"/>
      <c r="G50" s="167"/>
      <c r="H50" s="171"/>
      <c r="N50" s="58"/>
      <c r="O50" s="59"/>
      <c r="P50" s="58"/>
      <c r="Q50" s="72"/>
      <c r="R50" s="63"/>
      <c r="S50" s="58"/>
      <c r="T50" s="59"/>
      <c r="U50" s="58"/>
      <c r="V50" s="72"/>
      <c r="W50" s="63"/>
      <c r="X50" s="63"/>
    </row>
    <row r="51" spans="1:24" ht="12.95" customHeight="1" x14ac:dyDescent="0.2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76">
        <v>1</v>
      </c>
      <c r="G51" s="421"/>
      <c r="H51" s="135">
        <f t="shared" si="0"/>
        <v>0</v>
      </c>
      <c r="K51" s="76"/>
      <c r="L51" s="76"/>
      <c r="M51" s="98"/>
      <c r="N51" s="163"/>
      <c r="O51" s="59"/>
      <c r="P51" s="58"/>
      <c r="Q51" s="72"/>
      <c r="R51" s="63"/>
      <c r="S51" s="58"/>
      <c r="T51" s="59"/>
      <c r="U51" s="58"/>
      <c r="V51" s="72"/>
      <c r="W51" s="63"/>
      <c r="X51" s="63"/>
    </row>
    <row r="52" spans="1:24" ht="12.95" customHeight="1" x14ac:dyDescent="0.2">
      <c r="B52" s="164">
        <f>B51+0.1</f>
        <v>35.1</v>
      </c>
      <c r="C52" s="212" t="s">
        <v>195</v>
      </c>
      <c r="D52" s="213"/>
      <c r="E52" s="210" t="s">
        <v>6</v>
      </c>
      <c r="F52" s="214">
        <v>1</v>
      </c>
      <c r="G52" s="422"/>
      <c r="H52" s="215">
        <f t="shared" si="0"/>
        <v>0</v>
      </c>
      <c r="K52" s="76"/>
      <c r="L52" s="76"/>
      <c r="M52" s="98"/>
      <c r="N52" s="163"/>
      <c r="O52" s="59"/>
      <c r="P52" s="58"/>
      <c r="Q52" s="72"/>
      <c r="R52" s="63"/>
      <c r="S52" s="58"/>
      <c r="T52" s="59"/>
      <c r="U52" s="58"/>
      <c r="V52" s="72"/>
      <c r="W52" s="63"/>
      <c r="X52" s="63"/>
    </row>
    <row r="53" spans="1:24" ht="12.95" customHeight="1" x14ac:dyDescent="0.2">
      <c r="B53" s="87">
        <f>B51+1</f>
        <v>36</v>
      </c>
      <c r="C53" s="287" t="s">
        <v>135</v>
      </c>
      <c r="D53" s="288"/>
      <c r="E53" s="78" t="s">
        <v>6</v>
      </c>
      <c r="F53" s="76">
        <v>1</v>
      </c>
      <c r="G53" s="421"/>
      <c r="H53" s="135">
        <f t="shared" si="0"/>
        <v>0</v>
      </c>
      <c r="J53" s="39"/>
      <c r="K53" s="199"/>
      <c r="L53" s="199"/>
      <c r="M53" s="98"/>
      <c r="N53" s="163"/>
      <c r="O53" s="59"/>
      <c r="P53" s="58"/>
      <c r="Q53" s="72"/>
      <c r="R53" s="63"/>
      <c r="S53" s="58"/>
      <c r="T53" s="59"/>
      <c r="U53" s="58"/>
      <c r="V53" s="72"/>
      <c r="W53" s="63"/>
      <c r="X53" s="63"/>
    </row>
    <row r="54" spans="1:24" ht="12.95" customHeight="1" x14ac:dyDescent="0.2">
      <c r="B54" s="87">
        <f t="shared" si="1"/>
        <v>37</v>
      </c>
      <c r="C54" s="287" t="s">
        <v>136</v>
      </c>
      <c r="D54" s="288"/>
      <c r="E54" s="78" t="s">
        <v>6</v>
      </c>
      <c r="F54" s="76">
        <v>1</v>
      </c>
      <c r="G54" s="421"/>
      <c r="H54" s="135">
        <f t="shared" si="0"/>
        <v>0</v>
      </c>
      <c r="N54" s="58"/>
      <c r="O54" s="59"/>
      <c r="P54" s="58"/>
    </row>
    <row r="55" spans="1:24" ht="12.95" customHeight="1" x14ac:dyDescent="0.2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5">
        <f t="shared" si="0"/>
        <v>0</v>
      </c>
    </row>
    <row r="56" spans="1:24" ht="12.95" customHeight="1" x14ac:dyDescent="0.2">
      <c r="A56" s="39" t="s">
        <v>104</v>
      </c>
      <c r="B56" s="87">
        <f t="shared" si="1"/>
        <v>39</v>
      </c>
      <c r="C56" s="302" t="s">
        <v>223</v>
      </c>
      <c r="D56" s="303"/>
      <c r="E56" s="165"/>
      <c r="F56" s="165"/>
      <c r="G56" s="167"/>
      <c r="H56" s="171"/>
    </row>
    <row r="57" spans="1:24" ht="12.95" customHeight="1" x14ac:dyDescent="0.2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76">
        <v>1</v>
      </c>
      <c r="G57" s="421"/>
      <c r="H57" s="135">
        <f t="shared" si="0"/>
        <v>0</v>
      </c>
    </row>
    <row r="58" spans="1:24" ht="12.95" customHeight="1" x14ac:dyDescent="0.2">
      <c r="B58" s="87">
        <f t="shared" si="1"/>
        <v>41</v>
      </c>
      <c r="C58" s="212" t="s">
        <v>260</v>
      </c>
      <c r="D58" s="213"/>
      <c r="E58" s="274" t="s">
        <v>35</v>
      </c>
      <c r="F58" s="214">
        <v>1</v>
      </c>
      <c r="G58" s="422"/>
      <c r="H58" s="215">
        <f t="shared" si="0"/>
        <v>0</v>
      </c>
    </row>
    <row r="59" spans="1:24" ht="12.95" customHeight="1" x14ac:dyDescent="0.2">
      <c r="B59" s="87">
        <f t="shared" si="1"/>
        <v>42</v>
      </c>
      <c r="C59" s="287" t="s">
        <v>119</v>
      </c>
      <c r="D59" s="288"/>
      <c r="E59" s="99" t="s">
        <v>35</v>
      </c>
      <c r="F59" s="76">
        <v>1</v>
      </c>
      <c r="G59" s="421"/>
      <c r="H59" s="135">
        <f t="shared" si="0"/>
        <v>0</v>
      </c>
    </row>
    <row r="60" spans="1:24" ht="12.95" customHeight="1" x14ac:dyDescent="0.2">
      <c r="B60" s="87">
        <f t="shared" si="1"/>
        <v>43</v>
      </c>
      <c r="C60" s="302" t="s">
        <v>223</v>
      </c>
      <c r="D60" s="303"/>
      <c r="E60" s="165"/>
      <c r="F60" s="165"/>
      <c r="G60" s="167"/>
      <c r="H60" s="171"/>
    </row>
    <row r="61" spans="1:24" ht="12.95" customHeight="1" x14ac:dyDescent="0.2">
      <c r="A61" s="39" t="s">
        <v>89</v>
      </c>
      <c r="B61" s="87">
        <f>B60+1</f>
        <v>44</v>
      </c>
      <c r="C61" s="281" t="s">
        <v>268</v>
      </c>
      <c r="D61" s="282"/>
      <c r="E61" s="25" t="s">
        <v>9</v>
      </c>
      <c r="F61" s="208">
        <f>CEILING(F24*0.66,1)</f>
        <v>761</v>
      </c>
      <c r="G61" s="419"/>
      <c r="H61" s="135">
        <f>F61*G61</f>
        <v>0</v>
      </c>
    </row>
    <row r="62" spans="1:24" ht="12.95" customHeight="1" x14ac:dyDescent="0.2">
      <c r="A62" s="39" t="s">
        <v>90</v>
      </c>
      <c r="B62" s="87">
        <f>B61+1</f>
        <v>45</v>
      </c>
      <c r="C62" s="302" t="s">
        <v>223</v>
      </c>
      <c r="D62" s="303"/>
      <c r="E62" s="165"/>
      <c r="F62" s="165"/>
      <c r="G62" s="167"/>
      <c r="H62" s="171"/>
    </row>
    <row r="63" spans="1:24" ht="12.95" customHeight="1" x14ac:dyDescent="0.2">
      <c r="B63" s="87">
        <f t="shared" si="1"/>
        <v>46</v>
      </c>
      <c r="C63" s="302" t="s">
        <v>223</v>
      </c>
      <c r="D63" s="303"/>
      <c r="E63" s="165"/>
      <c r="F63" s="165"/>
      <c r="G63" s="167"/>
      <c r="H63" s="171"/>
    </row>
    <row r="64" spans="1:24" ht="12.95" customHeight="1" x14ac:dyDescent="0.2">
      <c r="A64" s="39" t="s">
        <v>156</v>
      </c>
      <c r="B64" s="87">
        <f>B63+1</f>
        <v>47</v>
      </c>
      <c r="C64" s="150" t="s">
        <v>154</v>
      </c>
      <c r="D64" s="152"/>
      <c r="E64" s="21" t="s">
        <v>155</v>
      </c>
      <c r="F64" s="95">
        <v>10</v>
      </c>
      <c r="G64" s="423"/>
      <c r="H64" s="137">
        <f t="shared" ref="H64" si="3">F64*G64</f>
        <v>0</v>
      </c>
    </row>
    <row r="65" spans="1:16" ht="12.95" customHeight="1" x14ac:dyDescent="0.2">
      <c r="B65" s="87">
        <f>B64+1</f>
        <v>48</v>
      </c>
      <c r="C65" s="302" t="s">
        <v>223</v>
      </c>
      <c r="D65" s="303"/>
      <c r="E65" s="165"/>
      <c r="F65" s="165"/>
      <c r="G65" s="167"/>
      <c r="H65" s="171"/>
    </row>
    <row r="66" spans="1:16" ht="12.95" customHeight="1" x14ac:dyDescent="0.2">
      <c r="B66" s="87">
        <f t="shared" ref="B66:B69" si="4">B65+1</f>
        <v>49</v>
      </c>
      <c r="C66" s="302" t="s">
        <v>223</v>
      </c>
      <c r="D66" s="303"/>
      <c r="E66" s="165"/>
      <c r="F66" s="165"/>
      <c r="G66" s="167"/>
      <c r="H66" s="171"/>
    </row>
    <row r="67" spans="1:16" ht="12.95" customHeight="1" x14ac:dyDescent="0.2">
      <c r="B67" s="87">
        <f t="shared" si="4"/>
        <v>50</v>
      </c>
      <c r="C67" s="302" t="s">
        <v>223</v>
      </c>
      <c r="D67" s="303"/>
      <c r="E67" s="165"/>
      <c r="F67" s="165"/>
      <c r="G67" s="167"/>
      <c r="H67" s="171"/>
    </row>
    <row r="68" spans="1:16" ht="12.95" customHeight="1" x14ac:dyDescent="0.2">
      <c r="B68" s="87">
        <f t="shared" si="4"/>
        <v>51</v>
      </c>
      <c r="C68" s="192" t="s">
        <v>258</v>
      </c>
      <c r="D68" s="193"/>
      <c r="E68" s="194" t="s">
        <v>6</v>
      </c>
      <c r="F68" s="131">
        <v>1</v>
      </c>
      <c r="G68" s="423"/>
      <c r="H68" s="139">
        <f t="shared" ref="H68" si="5">F68*G68</f>
        <v>0</v>
      </c>
    </row>
    <row r="69" spans="1:16" ht="12.95" customHeight="1" x14ac:dyDescent="0.2">
      <c r="B69" s="87">
        <f t="shared" si="4"/>
        <v>52</v>
      </c>
      <c r="C69" s="150" t="s">
        <v>252</v>
      </c>
      <c r="D69" s="152"/>
      <c r="E69" s="194" t="s">
        <v>6</v>
      </c>
      <c r="F69" s="131">
        <v>1</v>
      </c>
      <c r="G69" s="423"/>
      <c r="H69" s="139">
        <f t="shared" ref="H69" si="6">F69*G69</f>
        <v>0</v>
      </c>
    </row>
    <row r="70" spans="1:16" ht="12.95" customHeight="1" x14ac:dyDescent="0.2">
      <c r="B70" s="87" t="s">
        <v>261</v>
      </c>
      <c r="C70" s="374" t="s">
        <v>223</v>
      </c>
      <c r="D70" s="307"/>
      <c r="E70" s="308"/>
      <c r="F70" s="372"/>
      <c r="G70" s="310"/>
      <c r="H70" s="170"/>
    </row>
    <row r="71" spans="1:16" ht="12.95" customHeight="1" thickBot="1" x14ac:dyDescent="0.25">
      <c r="B71" s="87"/>
      <c r="C71" s="128"/>
      <c r="D71" s="129"/>
      <c r="E71" s="25"/>
      <c r="F71" s="131"/>
      <c r="G71" s="77"/>
      <c r="H71" s="138"/>
    </row>
    <row r="72" spans="1:16" ht="12.75" customHeight="1" thickBot="1" x14ac:dyDescent="0.25">
      <c r="B72" s="100"/>
      <c r="C72" s="466" t="s">
        <v>133</v>
      </c>
      <c r="D72" s="467"/>
      <c r="E72" s="119"/>
      <c r="F72" s="102"/>
      <c r="G72" s="108"/>
      <c r="H72" s="136">
        <f>SUM(H9:H71)</f>
        <v>0</v>
      </c>
    </row>
    <row r="73" spans="1:16" ht="12.75" customHeight="1" x14ac:dyDescent="0.2">
      <c r="B73" s="120">
        <f>'Arnold Palmer Green 1 689'!B95</f>
        <v>63</v>
      </c>
      <c r="C73" s="468" t="s">
        <v>275</v>
      </c>
      <c r="D73" s="469"/>
      <c r="E73" s="121" t="s">
        <v>35</v>
      </c>
      <c r="F73" s="381">
        <v>1</v>
      </c>
      <c r="G73" s="424"/>
      <c r="H73" s="137">
        <f>SUM(F73*G73)</f>
        <v>0</v>
      </c>
      <c r="I73" s="104">
        <v>0.1</v>
      </c>
    </row>
    <row r="74" spans="1:16" ht="12.75" customHeight="1" x14ac:dyDescent="0.2">
      <c r="B74" s="87">
        <f>MAX(B10:B73)+1</f>
        <v>64</v>
      </c>
      <c r="C74" s="287" t="s">
        <v>276</v>
      </c>
      <c r="D74" s="288"/>
      <c r="E74" s="78" t="s">
        <v>35</v>
      </c>
      <c r="F74" s="380">
        <v>1</v>
      </c>
      <c r="G74" s="425"/>
      <c r="H74" s="137">
        <f>SUM(F74*G74)</f>
        <v>0</v>
      </c>
      <c r="I74" s="106">
        <v>0.01</v>
      </c>
    </row>
    <row r="75" spans="1:16" ht="12.75" customHeight="1" thickBot="1" x14ac:dyDescent="0.25">
      <c r="B75" s="87">
        <f>MAX(B11:B74)+1</f>
        <v>65</v>
      </c>
      <c r="C75" s="450" t="s">
        <v>78</v>
      </c>
      <c r="D75" s="451"/>
      <c r="E75" s="78"/>
      <c r="F75" s="201">
        <v>0.1</v>
      </c>
      <c r="G75" s="105"/>
      <c r="H75" s="138">
        <f>SUM(H72*F75)</f>
        <v>0</v>
      </c>
      <c r="I75" s="107"/>
    </row>
    <row r="76" spans="1:16" ht="33" customHeight="1" thickBot="1" x14ac:dyDescent="0.25">
      <c r="B76" s="382"/>
      <c r="C76" s="462" t="s">
        <v>286</v>
      </c>
      <c r="D76" s="463"/>
      <c r="E76" s="383"/>
      <c r="F76" s="384"/>
      <c r="G76" s="385"/>
      <c r="H76" s="386">
        <f>SUM(H72:H75)</f>
        <v>0</v>
      </c>
    </row>
    <row r="77" spans="1:16" ht="12.75" hidden="1" customHeight="1" x14ac:dyDescent="0.2">
      <c r="B77" s="39"/>
      <c r="C77" s="39" t="s">
        <v>134</v>
      </c>
    </row>
    <row r="78" spans="1:16" ht="12.75" hidden="1" customHeight="1" x14ac:dyDescent="0.2">
      <c r="B78" s="39"/>
    </row>
    <row r="79" spans="1:16" ht="12.75" hidden="1" customHeight="1" x14ac:dyDescent="0.2">
      <c r="B79" s="109" t="s">
        <v>4</v>
      </c>
      <c r="C79" s="39" t="s">
        <v>7</v>
      </c>
    </row>
    <row r="80" spans="1:16" ht="12.75" hidden="1" customHeight="1" x14ac:dyDescent="0.25">
      <c r="A80" s="204" t="s">
        <v>158</v>
      </c>
      <c r="O80" s="89"/>
      <c r="P80" s="89"/>
    </row>
    <row r="81" spans="1:13" ht="12.75" hidden="1" customHeight="1" x14ac:dyDescent="0.25">
      <c r="D81" s="40" t="s">
        <v>92</v>
      </c>
      <c r="E81" s="207">
        <v>2000</v>
      </c>
      <c r="F81" s="133" t="s">
        <v>120</v>
      </c>
      <c r="G81" s="134">
        <v>50</v>
      </c>
      <c r="K81" s="89"/>
    </row>
    <row r="82" spans="1:13" ht="12.75" hidden="1" customHeight="1" x14ac:dyDescent="0.25">
      <c r="A82" s="39" t="s">
        <v>38</v>
      </c>
      <c r="B82" s="40"/>
      <c r="D82" s="40" t="s">
        <v>15</v>
      </c>
      <c r="E82" s="111">
        <v>20.75</v>
      </c>
      <c r="F82" s="42" t="s">
        <v>16</v>
      </c>
      <c r="G82" s="43" t="s">
        <v>17</v>
      </c>
      <c r="K82" s="89"/>
    </row>
    <row r="83" spans="1:13" ht="12.75" hidden="1" customHeight="1" x14ac:dyDescent="0.25">
      <c r="A83" s="115">
        <v>3</v>
      </c>
      <c r="D83" s="40" t="s">
        <v>18</v>
      </c>
      <c r="E83" s="112">
        <v>0</v>
      </c>
      <c r="F83" s="42" t="s">
        <v>16</v>
      </c>
      <c r="G83" s="43">
        <f>(E82-E83)+E90</f>
        <v>20.75</v>
      </c>
      <c r="H83" s="39"/>
      <c r="K83" s="89"/>
    </row>
    <row r="84" spans="1:13" ht="12.75" hidden="1" customHeight="1" x14ac:dyDescent="0.25">
      <c r="A84" s="42"/>
      <c r="D84" s="40" t="s">
        <v>178</v>
      </c>
      <c r="E84" s="115">
        <v>12</v>
      </c>
      <c r="F84" s="39" t="s">
        <v>20</v>
      </c>
      <c r="G84" s="115">
        <v>10</v>
      </c>
      <c r="H84" s="42" t="s">
        <v>20</v>
      </c>
      <c r="K84" s="89"/>
    </row>
    <row r="85" spans="1:13" ht="12.75" hidden="1" customHeight="1" x14ac:dyDescent="0.2">
      <c r="A85" s="116" t="s">
        <v>39</v>
      </c>
      <c r="D85" s="40" t="s">
        <v>21</v>
      </c>
      <c r="E85" s="115">
        <v>0</v>
      </c>
      <c r="F85" s="39" t="s">
        <v>20</v>
      </c>
      <c r="K85" s="45"/>
    </row>
    <row r="86" spans="1:13" ht="12.75" hidden="1" customHeight="1" x14ac:dyDescent="0.2">
      <c r="A86" s="115" t="s">
        <v>41</v>
      </c>
      <c r="D86" s="40" t="s">
        <v>22</v>
      </c>
      <c r="E86" s="115">
        <v>0</v>
      </c>
      <c r="F86" s="42" t="s">
        <v>20</v>
      </c>
    </row>
    <row r="87" spans="1:13" ht="12.75" hidden="1" customHeight="1" x14ac:dyDescent="0.2">
      <c r="A87" s="42"/>
      <c r="D87" s="40" t="s">
        <v>23</v>
      </c>
      <c r="E87" s="44">
        <f>E84*G84</f>
        <v>120</v>
      </c>
      <c r="F87" s="42" t="s">
        <v>24</v>
      </c>
    </row>
    <row r="88" spans="1:13" ht="12.75" hidden="1" customHeight="1" x14ac:dyDescent="0.2">
      <c r="A88" s="42" t="s">
        <v>68</v>
      </c>
      <c r="D88" s="40" t="s">
        <v>25</v>
      </c>
      <c r="E88" s="44">
        <f>E89+(E87*2)</f>
        <v>1153</v>
      </c>
      <c r="F88" s="42" t="s">
        <v>24</v>
      </c>
    </row>
    <row r="89" spans="1:13" ht="12.75" hidden="1" customHeight="1" x14ac:dyDescent="0.25">
      <c r="A89" s="115" t="s">
        <v>40</v>
      </c>
      <c r="D89" s="40" t="s">
        <v>26</v>
      </c>
      <c r="E89" s="44">
        <f>(2*E84+2*G84)*G83</f>
        <v>913</v>
      </c>
      <c r="F89" s="42" t="s">
        <v>24</v>
      </c>
      <c r="L89" s="89"/>
      <c r="M89" s="89"/>
    </row>
    <row r="90" spans="1:13" ht="12.75" hidden="1" customHeight="1" x14ac:dyDescent="0.2">
      <c r="A90" s="42"/>
      <c r="D90" s="40" t="s">
        <v>152</v>
      </c>
      <c r="E90" s="111">
        <v>0</v>
      </c>
      <c r="F90" s="42" t="s">
        <v>20</v>
      </c>
    </row>
    <row r="91" spans="1:13" ht="12.75" hidden="1" customHeight="1" x14ac:dyDescent="0.2">
      <c r="A91" s="42" t="s">
        <v>71</v>
      </c>
      <c r="D91" s="40" t="s">
        <v>42</v>
      </c>
      <c r="E91" s="111">
        <v>0</v>
      </c>
      <c r="F91" s="42" t="s">
        <v>20</v>
      </c>
    </row>
    <row r="92" spans="1:13" ht="12.75" hidden="1" customHeight="1" x14ac:dyDescent="0.2">
      <c r="A92" s="115" t="s">
        <v>41</v>
      </c>
      <c r="D92" s="40" t="s">
        <v>43</v>
      </c>
      <c r="E92" s="111">
        <v>0</v>
      </c>
      <c r="F92" s="42" t="s">
        <v>20</v>
      </c>
    </row>
    <row r="93" spans="1:13" ht="12.75" hidden="1" customHeight="1" x14ac:dyDescent="0.2">
      <c r="A93" s="42"/>
    </row>
    <row r="94" spans="1:13" ht="12.75" hidden="1" customHeight="1" x14ac:dyDescent="0.2">
      <c r="A94" s="42" t="s">
        <v>91</v>
      </c>
    </row>
    <row r="95" spans="1:13" ht="12.75" hidden="1" customHeight="1" x14ac:dyDescent="0.25">
      <c r="A95" s="115" t="s">
        <v>40</v>
      </c>
      <c r="C95" s="89"/>
      <c r="D95" s="89"/>
      <c r="E95" s="113" t="s">
        <v>93</v>
      </c>
      <c r="F95" s="113" t="s">
        <v>94</v>
      </c>
      <c r="G95" s="114"/>
      <c r="H95" s="39"/>
      <c r="I95" s="39" t="s">
        <v>101</v>
      </c>
      <c r="J95" s="39" t="s">
        <v>95</v>
      </c>
      <c r="K95" s="39" t="s">
        <v>96</v>
      </c>
      <c r="L95" s="39" t="s">
        <v>102</v>
      </c>
    </row>
    <row r="96" spans="1:13" ht="12.75" hidden="1" customHeight="1" x14ac:dyDescent="0.25">
      <c r="C96" s="205" t="s">
        <v>97</v>
      </c>
      <c r="D96" s="113" t="s">
        <v>98</v>
      </c>
      <c r="E96" s="113" t="s">
        <v>99</v>
      </c>
      <c r="F96" s="113" t="s">
        <v>99</v>
      </c>
      <c r="G96" s="89"/>
      <c r="H96" s="39"/>
      <c r="I96" s="45">
        <v>2</v>
      </c>
      <c r="J96" s="113"/>
      <c r="K96" s="113"/>
      <c r="L96" s="111">
        <v>2.0470000000000002</v>
      </c>
    </row>
    <row r="97" spans="1:11" ht="12.75" hidden="1" customHeight="1" x14ac:dyDescent="0.25">
      <c r="C97" s="40">
        <f>VLOOKUP(J10,I98:K102,2)</f>
        <v>8.9600000000000009</v>
      </c>
      <c r="D97" s="45">
        <f>E81</f>
        <v>2000</v>
      </c>
      <c r="E97" s="41">
        <f>(D97/448.83)/((C97/12)^2*3.14/4)</f>
        <v>10.181808722436555</v>
      </c>
      <c r="F97" s="41">
        <f>((D97/448.83)/((C97/12)^2*3.14/4))*1.5</f>
        <v>15.272713083654832</v>
      </c>
      <c r="G97" s="89"/>
      <c r="H97" s="39"/>
      <c r="I97" s="45">
        <v>4</v>
      </c>
      <c r="J97" s="111">
        <v>3.89</v>
      </c>
      <c r="K97" s="111">
        <v>4.2699999999999996</v>
      </c>
    </row>
    <row r="98" spans="1:11" ht="12.75" hidden="1" customHeight="1" x14ac:dyDescent="0.25">
      <c r="A98" s="39" t="s">
        <v>40</v>
      </c>
      <c r="C98" s="89"/>
      <c r="D98" s="89"/>
      <c r="E98" s="177" t="str">
        <f xml:space="preserve"> IF(E97&gt;=8,"Upsize","Keep Size")</f>
        <v>Upsize</v>
      </c>
      <c r="F98" s="89"/>
      <c r="G98" s="89"/>
      <c r="H98" s="39"/>
      <c r="I98" s="45">
        <v>6</v>
      </c>
      <c r="J98" s="111">
        <v>5.59</v>
      </c>
      <c r="K98" s="111">
        <v>6.13</v>
      </c>
    </row>
    <row r="99" spans="1:11" ht="12.75" hidden="1" customHeight="1" x14ac:dyDescent="0.2">
      <c r="A99" s="39" t="s">
        <v>41</v>
      </c>
      <c r="E99" s="39"/>
      <c r="F99" s="39"/>
      <c r="G99" s="39"/>
      <c r="H99" s="39"/>
      <c r="I99" s="45">
        <v>8</v>
      </c>
      <c r="J99" s="111">
        <v>7.34</v>
      </c>
      <c r="K99" s="111">
        <v>8.0399999999999991</v>
      </c>
    </row>
    <row r="100" spans="1:11" ht="12.75" hidden="1" customHeight="1" x14ac:dyDescent="0.2">
      <c r="E100" s="45" t="s">
        <v>160</v>
      </c>
      <c r="F100" s="39"/>
      <c r="G100" s="39"/>
      <c r="H100" s="39"/>
      <c r="I100" s="45">
        <v>10</v>
      </c>
      <c r="J100" s="111">
        <v>8.9600000000000009</v>
      </c>
    </row>
    <row r="101" spans="1:11" ht="12.75" hidden="1" customHeight="1" x14ac:dyDescent="0.2">
      <c r="E101" s="39"/>
      <c r="F101" s="39"/>
      <c r="G101" s="39"/>
      <c r="H101" s="39"/>
      <c r="I101" s="45">
        <v>12</v>
      </c>
      <c r="J101" s="111">
        <v>10.66</v>
      </c>
    </row>
    <row r="102" spans="1:11" ht="12.75" hidden="1" customHeight="1" x14ac:dyDescent="0.2">
      <c r="G102" s="39"/>
      <c r="H102" s="39"/>
    </row>
    <row r="103" spans="1:11" ht="12.75" hidden="1" customHeight="1" x14ac:dyDescent="0.2"/>
    <row r="104" spans="1:11" ht="12.75" hidden="1" customHeight="1" x14ac:dyDescent="0.2"/>
    <row r="105" spans="1:11" ht="12.75" hidden="1" customHeight="1" x14ac:dyDescent="0.2"/>
    <row r="106" spans="1:11" ht="12.75" hidden="1" customHeight="1" x14ac:dyDescent="0.2"/>
  </sheetData>
  <sheetProtection algorithmName="SHA-512" hashValue="WLH0DxQeXTdyoLIjxPo+d4+gjC5HImxOOVTIVSfanggrk+MHP4mOIJa4l1wk6q9njTwbfj+ohp1QrzsnzAL8mQ==" saltValue="CCogBrjrdlbagfnIyvufgw==" spinCount="100000" sheet="1" objects="1" scenarios="1" selectLockedCells="1"/>
  <mergeCells count="19">
    <mergeCell ref="B1:C1"/>
    <mergeCell ref="B2:C2"/>
    <mergeCell ref="B3:E3"/>
    <mergeCell ref="B4:C4"/>
    <mergeCell ref="B5:H5"/>
    <mergeCell ref="C44:D44"/>
    <mergeCell ref="C76:D76"/>
    <mergeCell ref="C45:D45"/>
    <mergeCell ref="C72:D72"/>
    <mergeCell ref="C73:D73"/>
    <mergeCell ref="C75:D75"/>
    <mergeCell ref="C9:D9"/>
    <mergeCell ref="B7:H7"/>
    <mergeCell ref="C8:D8"/>
    <mergeCell ref="C25:D25"/>
    <mergeCell ref="C11:D11"/>
    <mergeCell ref="C12:D12"/>
    <mergeCell ref="C13:D13"/>
    <mergeCell ref="C24:D24"/>
  </mergeCells>
  <dataValidations disablePrompts="1" count="4">
    <dataValidation type="list" allowBlank="1" showInputMessage="1" showErrorMessage="1" sqref="J39 J32" xr:uid="{00000000-0002-0000-0400-000001000000}">
      <formula1>$R$25:$R$29</formula1>
    </dataValidation>
    <dataValidation type="list" allowBlank="1" showInputMessage="1" showErrorMessage="1" sqref="A86 A92 A89 A95" xr:uid="{00000000-0002-0000-0400-000002000000}">
      <formula1>$A$98:$A$99</formula1>
    </dataValidation>
    <dataValidation type="list" allowBlank="1" showInputMessage="1" showErrorMessage="1" sqref="J10" xr:uid="{5F32158D-CEA7-4D0B-B851-D3C7BABD5BD0}">
      <formula1>$I$97:$I$101</formula1>
    </dataValidation>
    <dataValidation type="list" allowBlank="1" showInputMessage="1" showErrorMessage="1" sqref="J12" xr:uid="{00000000-0002-0000-0400-000000000000}">
      <formula1>$P$13:$P$18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Roman,Regular"&amp;8Bidder:________________________
Signature:______________________&amp;C&amp;"Times New Roman,Regular"&amp;10Page &amp;P of &amp;N&amp;R&amp;"Times New Roman,Regular"&amp;8Appendix K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AA127"/>
  <sheetViews>
    <sheetView tabSelected="1" topLeftCell="B91" zoomScaleNormal="100" zoomScaleSheetLayoutView="100" workbookViewId="0">
      <selection activeCell="G25" sqref="G25"/>
    </sheetView>
  </sheetViews>
  <sheetFormatPr defaultRowHeight="12.75" x14ac:dyDescent="0.2"/>
  <cols>
    <col min="1" max="1" width="0" style="39" hidden="1" customWidth="1"/>
    <col min="2" max="2" width="6.77734375" style="45" customWidth="1"/>
    <col min="3" max="3" width="29.77734375" style="39" customWidth="1"/>
    <col min="4" max="4" width="11.77734375" style="39" customWidth="1"/>
    <col min="5" max="5" width="6.77734375" style="45" customWidth="1"/>
    <col min="6" max="6" width="6.77734375" style="46" customWidth="1"/>
    <col min="7" max="7" width="9.77734375" style="42" customWidth="1"/>
    <col min="8" max="8" width="13.77734375" style="42" customWidth="1"/>
    <col min="9" max="9" width="3.77734375" style="39" hidden="1" customWidth="1"/>
    <col min="10" max="10" width="5.77734375" style="39" hidden="1" customWidth="1"/>
    <col min="11" max="11" width="6.77734375" style="39" hidden="1" customWidth="1"/>
    <col min="12" max="12" width="7.109375" style="39" hidden="1" customWidth="1"/>
    <col min="13" max="19" width="6.77734375" style="39" hidden="1" customWidth="1"/>
    <col min="20" max="20" width="8.21875" style="39" hidden="1" customWidth="1"/>
    <col min="21" max="23" width="8.21875" style="39" customWidth="1"/>
    <col min="24" max="16384" width="8.88671875" style="39"/>
  </cols>
  <sheetData>
    <row r="1" spans="1:27" ht="20.100000000000001" customHeight="1" x14ac:dyDescent="0.25">
      <c r="B1" s="460" t="s">
        <v>271</v>
      </c>
      <c r="C1" s="460"/>
      <c r="D1" s="1"/>
      <c r="E1" s="2"/>
      <c r="F1" s="4"/>
      <c r="G1" s="5"/>
      <c r="H1" s="39"/>
      <c r="M1" s="45"/>
      <c r="N1" s="79"/>
      <c r="O1" s="80"/>
      <c r="P1" s="46"/>
      <c r="Q1" s="42"/>
      <c r="R1" s="58"/>
      <c r="S1" s="60"/>
      <c r="T1" s="61"/>
      <c r="U1" s="62"/>
      <c r="V1" s="63"/>
      <c r="W1" s="63"/>
      <c r="X1" s="59"/>
      <c r="Y1" s="59"/>
      <c r="Z1" s="59"/>
    </row>
    <row r="2" spans="1:27" ht="20.100000000000001" customHeight="1" x14ac:dyDescent="0.25">
      <c r="B2" s="460" t="s">
        <v>272</v>
      </c>
      <c r="C2" s="460"/>
      <c r="D2" s="1"/>
      <c r="E2" s="2"/>
      <c r="F2" s="4"/>
      <c r="G2" s="5"/>
      <c r="H2" s="39"/>
      <c r="I2" s="122"/>
      <c r="M2" s="45"/>
      <c r="N2" s="79"/>
      <c r="O2" s="80"/>
      <c r="P2" s="46"/>
      <c r="Q2" s="42"/>
      <c r="R2" s="58"/>
      <c r="S2" s="60"/>
      <c r="T2" s="61"/>
      <c r="U2" s="62"/>
      <c r="V2" s="63"/>
      <c r="W2" s="63"/>
      <c r="X2" s="59"/>
      <c r="Y2" s="59"/>
      <c r="Z2" s="59"/>
    </row>
    <row r="3" spans="1:27" ht="20.100000000000001" customHeight="1" x14ac:dyDescent="0.25">
      <c r="B3" s="460" t="s">
        <v>274</v>
      </c>
      <c r="C3" s="460"/>
      <c r="D3" s="460"/>
      <c r="E3" s="460"/>
      <c r="F3" s="4"/>
      <c r="G3" s="5"/>
      <c r="H3" s="39"/>
      <c r="M3" s="45"/>
      <c r="N3" s="79"/>
      <c r="O3" s="80"/>
      <c r="P3" s="46"/>
      <c r="Q3" s="42"/>
      <c r="R3" s="58"/>
      <c r="S3" s="60"/>
      <c r="T3" s="61"/>
      <c r="U3" s="62"/>
      <c r="V3" s="63"/>
      <c r="W3" s="63"/>
      <c r="X3" s="59"/>
      <c r="Y3" s="59"/>
      <c r="Z3" s="59"/>
    </row>
    <row r="4" spans="1:27" ht="20.100000000000001" customHeight="1" x14ac:dyDescent="0.25">
      <c r="B4" s="461" t="s">
        <v>273</v>
      </c>
      <c r="C4" s="461"/>
      <c r="D4" s="2"/>
      <c r="E4" s="4"/>
      <c r="F4" s="5"/>
      <c r="G4" s="5"/>
      <c r="H4" s="39"/>
      <c r="M4" s="45"/>
      <c r="N4" s="79"/>
      <c r="O4" s="80"/>
      <c r="P4" s="46"/>
      <c r="Q4" s="42"/>
      <c r="R4" s="58"/>
      <c r="S4" s="60"/>
      <c r="T4" s="61"/>
      <c r="U4" s="62"/>
      <c r="V4" s="63"/>
      <c r="W4" s="63"/>
      <c r="X4" s="59"/>
      <c r="Y4" s="59"/>
      <c r="Z4" s="59"/>
    </row>
    <row r="5" spans="1:27" ht="20.100000000000001" customHeight="1" x14ac:dyDescent="0.2">
      <c r="B5" s="477" t="s">
        <v>284</v>
      </c>
      <c r="C5" s="477"/>
      <c r="D5" s="477"/>
      <c r="E5" s="477"/>
      <c r="F5" s="477"/>
      <c r="G5" s="477"/>
      <c r="H5" s="477"/>
      <c r="M5" s="45"/>
      <c r="N5" s="79"/>
      <c r="O5" s="80"/>
      <c r="P5" s="46"/>
      <c r="Q5" s="42"/>
      <c r="R5" s="58"/>
      <c r="S5" s="60"/>
      <c r="T5" s="61"/>
      <c r="U5" s="62"/>
      <c r="V5" s="63"/>
      <c r="W5" s="63"/>
      <c r="X5" s="59"/>
      <c r="Y5" s="59"/>
      <c r="Z5" s="59"/>
    </row>
    <row r="6" spans="1:27" ht="12.95" customHeight="1" thickBot="1" x14ac:dyDescent="0.25">
      <c r="B6" s="79"/>
      <c r="C6" s="79"/>
      <c r="D6" s="80"/>
      <c r="E6" s="46"/>
      <c r="F6" s="42"/>
      <c r="H6" s="39"/>
      <c r="M6" s="58"/>
      <c r="N6" s="60"/>
      <c r="O6" s="61"/>
      <c r="P6" s="62"/>
      <c r="Q6" s="63"/>
      <c r="R6" s="58"/>
      <c r="S6" s="60"/>
      <c r="T6" s="61"/>
      <c r="U6" s="62"/>
      <c r="V6" s="63"/>
      <c r="W6" s="63"/>
      <c r="X6" s="59"/>
      <c r="Y6" s="59"/>
      <c r="Z6" s="59"/>
    </row>
    <row r="7" spans="1:27" ht="17.100000000000001" customHeight="1" thickBot="1" x14ac:dyDescent="0.25">
      <c r="B7" s="489" t="s">
        <v>281</v>
      </c>
      <c r="C7" s="490"/>
      <c r="D7" s="490"/>
      <c r="E7" s="490"/>
      <c r="F7" s="490"/>
      <c r="G7" s="490"/>
      <c r="H7" s="491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59"/>
      <c r="Z7" s="59"/>
      <c r="AA7" s="59"/>
    </row>
    <row r="8" spans="1:27" s="81" customFormat="1" ht="39" customHeight="1" thickBot="1" x14ac:dyDescent="0.25">
      <c r="B8" s="82" t="s">
        <v>12</v>
      </c>
      <c r="C8" s="475" t="s">
        <v>0</v>
      </c>
      <c r="D8" s="476"/>
      <c r="E8" s="83" t="s">
        <v>123</v>
      </c>
      <c r="F8" s="84" t="s">
        <v>2</v>
      </c>
      <c r="G8" s="85" t="s">
        <v>124</v>
      </c>
      <c r="H8" s="86" t="s">
        <v>29</v>
      </c>
      <c r="N8" s="65"/>
      <c r="O8" s="66"/>
      <c r="P8" s="65"/>
      <c r="Q8" s="65"/>
      <c r="R8" s="65"/>
      <c r="S8" s="65"/>
      <c r="T8" s="66"/>
      <c r="U8" s="65"/>
      <c r="V8" s="65"/>
      <c r="W8" s="65"/>
      <c r="X8" s="65"/>
      <c r="Y8" s="67"/>
      <c r="Z8" s="67"/>
      <c r="AA8" s="67"/>
    </row>
    <row r="9" spans="1:27" ht="12.95" customHeight="1" x14ac:dyDescent="0.2">
      <c r="A9" s="39" t="s">
        <v>44</v>
      </c>
      <c r="B9" s="87">
        <v>1</v>
      </c>
      <c r="C9" s="433" t="s">
        <v>8</v>
      </c>
      <c r="D9" s="434"/>
      <c r="E9" s="88" t="s">
        <v>9</v>
      </c>
      <c r="F9" s="15">
        <f>E110</f>
        <v>776</v>
      </c>
      <c r="G9" s="419"/>
      <c r="H9" s="135">
        <f t="shared" ref="H9:H42" si="0">F9*G9</f>
        <v>0</v>
      </c>
      <c r="J9" s="59"/>
      <c r="K9" s="59"/>
      <c r="L9" s="59"/>
      <c r="M9" s="176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59"/>
      <c r="Z9" s="59"/>
      <c r="AA9" s="59"/>
    </row>
    <row r="10" spans="1:27" ht="12.95" customHeight="1" x14ac:dyDescent="0.2">
      <c r="A10" s="39" t="s">
        <v>45</v>
      </c>
      <c r="B10" s="87">
        <f>B9+1</f>
        <v>2</v>
      </c>
      <c r="C10" s="435" t="s">
        <v>153</v>
      </c>
      <c r="D10" s="436"/>
      <c r="E10" s="18" t="s">
        <v>5</v>
      </c>
      <c r="F10" s="15">
        <f>IF(A114="No",ROUNDUP(((G105-1.5+E107)*A105),0),ROUNDUP(((G105+2+E107)*A105),0))</f>
        <v>78</v>
      </c>
      <c r="G10" s="419"/>
      <c r="H10" s="135">
        <f t="shared" si="0"/>
        <v>0</v>
      </c>
      <c r="J10" s="159">
        <v>6</v>
      </c>
      <c r="K10" s="58"/>
      <c r="L10" s="58"/>
      <c r="M10" s="5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59"/>
      <c r="Z10" s="59"/>
      <c r="AA10" s="59"/>
    </row>
    <row r="11" spans="1:27" ht="12.95" customHeight="1" x14ac:dyDescent="0.25">
      <c r="A11" s="39" t="s">
        <v>46</v>
      </c>
      <c r="B11" s="87">
        <f t="shared" ref="B11:B63" si="1">B10+1</f>
        <v>3</v>
      </c>
      <c r="C11" s="435" t="s">
        <v>129</v>
      </c>
      <c r="D11" s="436"/>
      <c r="E11" s="18" t="s">
        <v>6</v>
      </c>
      <c r="F11" s="15">
        <f>A105</f>
        <v>2</v>
      </c>
      <c r="G11" s="419"/>
      <c r="H11" s="135">
        <f t="shared" si="0"/>
        <v>0</v>
      </c>
      <c r="J11" s="48"/>
      <c r="K11" s="90"/>
      <c r="L11" s="58"/>
      <c r="M11" s="58"/>
      <c r="N11" s="58"/>
      <c r="O11" s="91"/>
      <c r="P11" s="58"/>
      <c r="Q11" s="58"/>
      <c r="R11" s="92"/>
      <c r="S11" s="89"/>
      <c r="T11" s="68"/>
      <c r="U11" s="69"/>
      <c r="V11" s="49"/>
      <c r="W11" s="50"/>
      <c r="X11" s="51"/>
      <c r="Y11" s="59"/>
      <c r="Z11" s="59"/>
      <c r="AA11" s="59"/>
    </row>
    <row r="12" spans="1:27" ht="12.95" customHeight="1" x14ac:dyDescent="0.25">
      <c r="A12" s="39" t="s">
        <v>47</v>
      </c>
      <c r="B12" s="87">
        <f t="shared" si="1"/>
        <v>4</v>
      </c>
      <c r="C12" s="435" t="s">
        <v>107</v>
      </c>
      <c r="D12" s="436"/>
      <c r="E12" s="18" t="s">
        <v>6</v>
      </c>
      <c r="F12" s="15">
        <f>A105</f>
        <v>2</v>
      </c>
      <c r="G12" s="419"/>
      <c r="H12" s="135">
        <f t="shared" si="0"/>
        <v>0</v>
      </c>
      <c r="J12" s="52"/>
      <c r="K12" s="90"/>
      <c r="L12" s="58"/>
      <c r="M12" s="58"/>
      <c r="N12" s="58"/>
      <c r="O12" s="91"/>
      <c r="P12" s="58"/>
      <c r="Q12" s="59"/>
      <c r="R12" s="92"/>
      <c r="S12" s="92"/>
      <c r="T12" s="53"/>
      <c r="U12" s="49"/>
      <c r="V12" s="49"/>
      <c r="W12" s="50"/>
      <c r="X12" s="51"/>
      <c r="Y12" s="59"/>
      <c r="Z12" s="59"/>
      <c r="AA12" s="59"/>
    </row>
    <row r="13" spans="1:27" ht="12.95" customHeight="1" x14ac:dyDescent="0.25">
      <c r="A13" s="39" t="s">
        <v>48</v>
      </c>
      <c r="B13" s="87">
        <f t="shared" si="1"/>
        <v>5</v>
      </c>
      <c r="C13" s="435" t="s">
        <v>208</v>
      </c>
      <c r="D13" s="436"/>
      <c r="E13" s="18" t="s">
        <v>6</v>
      </c>
      <c r="F13" s="15">
        <f>IF((G105)&lt;18.3,2,2+(ROUNDDOWN(((G105-10.1)/8),0)))</f>
        <v>4</v>
      </c>
      <c r="G13" s="419"/>
      <c r="H13" s="135">
        <f t="shared" si="0"/>
        <v>0</v>
      </c>
      <c r="J13" s="53"/>
      <c r="K13" s="90"/>
      <c r="L13" s="58"/>
      <c r="M13" s="54"/>
      <c r="N13" s="58"/>
      <c r="O13" s="91"/>
      <c r="P13" s="58"/>
      <c r="Q13" s="58"/>
      <c r="R13" s="92"/>
      <c r="S13" s="92"/>
      <c r="T13" s="53"/>
      <c r="U13" s="49"/>
      <c r="V13" s="49"/>
      <c r="W13" s="55"/>
      <c r="X13" s="51"/>
      <c r="Y13" s="59"/>
      <c r="Z13" s="59"/>
      <c r="AA13" s="59"/>
    </row>
    <row r="14" spans="1:27" ht="12.95" customHeight="1" x14ac:dyDescent="0.25">
      <c r="A14" s="39" t="s">
        <v>49</v>
      </c>
      <c r="B14" s="87">
        <f>B13+1</f>
        <v>6</v>
      </c>
      <c r="C14" s="435" t="s">
        <v>164</v>
      </c>
      <c r="D14" s="436"/>
      <c r="E14" s="165"/>
      <c r="F14" s="166"/>
      <c r="G14" s="167"/>
      <c r="H14" s="171"/>
      <c r="J14" s="53"/>
      <c r="K14" s="92"/>
      <c r="L14" s="92"/>
      <c r="M14" s="92"/>
      <c r="N14" s="92"/>
      <c r="O14" s="91"/>
      <c r="P14" s="58"/>
      <c r="Q14" s="58"/>
      <c r="R14" s="92"/>
      <c r="S14" s="92"/>
      <c r="T14" s="53"/>
      <c r="U14" s="49"/>
      <c r="V14" s="49"/>
      <c r="W14" s="50"/>
      <c r="X14" s="51"/>
      <c r="Y14" s="59"/>
      <c r="Z14" s="59"/>
      <c r="AA14" s="59"/>
    </row>
    <row r="15" spans="1:27" ht="12.95" customHeight="1" x14ac:dyDescent="0.25">
      <c r="B15" s="164">
        <f>B14+0.1</f>
        <v>6.1</v>
      </c>
      <c r="C15" s="281" t="s">
        <v>165</v>
      </c>
      <c r="D15" s="282"/>
      <c r="E15" s="18" t="s">
        <v>27</v>
      </c>
      <c r="F15" s="172">
        <f>E112</f>
        <v>2</v>
      </c>
      <c r="G15" s="419"/>
      <c r="H15" s="135">
        <f>F15*G15</f>
        <v>0</v>
      </c>
      <c r="J15" s="53"/>
      <c r="K15" s="92"/>
      <c r="L15" s="92"/>
      <c r="M15" s="92"/>
      <c r="N15" s="92"/>
      <c r="O15" s="91"/>
      <c r="P15" s="58"/>
      <c r="Q15" s="58"/>
      <c r="R15" s="92"/>
      <c r="S15" s="92"/>
      <c r="T15" s="53"/>
      <c r="U15" s="49"/>
      <c r="V15" s="49"/>
      <c r="W15" s="50"/>
      <c r="X15" s="51"/>
      <c r="Y15" s="59"/>
      <c r="Z15" s="59"/>
      <c r="AA15" s="59"/>
    </row>
    <row r="16" spans="1:27" ht="12.95" customHeight="1" x14ac:dyDescent="0.25">
      <c r="B16" s="87">
        <f>B14+1</f>
        <v>7</v>
      </c>
      <c r="C16" s="435" t="s">
        <v>167</v>
      </c>
      <c r="D16" s="436"/>
      <c r="E16" s="165"/>
      <c r="F16" s="166"/>
      <c r="G16" s="167"/>
      <c r="H16" s="171"/>
      <c r="J16" s="53"/>
      <c r="K16" s="92"/>
      <c r="L16" s="92"/>
      <c r="M16" s="92"/>
      <c r="N16" s="92"/>
      <c r="O16" s="91"/>
      <c r="P16" s="58"/>
      <c r="Q16" s="58"/>
      <c r="R16" s="92"/>
      <c r="S16" s="92"/>
      <c r="T16" s="53"/>
      <c r="U16" s="49"/>
      <c r="V16" s="49"/>
      <c r="W16" s="50"/>
      <c r="X16" s="51"/>
      <c r="Y16" s="59"/>
      <c r="Z16" s="59"/>
      <c r="AA16" s="59"/>
    </row>
    <row r="17" spans="1:27" ht="12.95" customHeight="1" x14ac:dyDescent="0.25">
      <c r="A17" s="39" t="s">
        <v>50</v>
      </c>
      <c r="B17" s="164">
        <f>B16+0.1</f>
        <v>7.1</v>
      </c>
      <c r="C17" s="435" t="s">
        <v>165</v>
      </c>
      <c r="D17" s="436"/>
      <c r="E17" s="18" t="s">
        <v>6</v>
      </c>
      <c r="F17" s="76">
        <v>1</v>
      </c>
      <c r="G17" s="420"/>
      <c r="H17" s="135">
        <f t="shared" si="0"/>
        <v>0</v>
      </c>
      <c r="J17" s="53"/>
      <c r="K17" s="93"/>
      <c r="L17" s="92"/>
      <c r="M17" s="92"/>
      <c r="N17" s="92"/>
      <c r="O17" s="91"/>
      <c r="P17" s="58"/>
      <c r="Q17" s="58"/>
      <c r="R17" s="92"/>
      <c r="S17" s="92"/>
      <c r="T17" s="53"/>
      <c r="U17" s="49"/>
      <c r="V17" s="49"/>
      <c r="W17" s="50"/>
      <c r="X17" s="51"/>
      <c r="Y17" s="59"/>
      <c r="Z17" s="59"/>
      <c r="AA17" s="59"/>
    </row>
    <row r="18" spans="1:27" ht="12.95" customHeight="1" x14ac:dyDescent="0.25">
      <c r="B18" s="164">
        <f>B17+0.1</f>
        <v>7.1999999999999993</v>
      </c>
      <c r="C18" s="302" t="s">
        <v>223</v>
      </c>
      <c r="D18" s="303"/>
      <c r="E18" s="165"/>
      <c r="F18" s="165"/>
      <c r="G18" s="167"/>
      <c r="H18" s="171"/>
      <c r="J18" s="53"/>
      <c r="K18" s="92"/>
      <c r="L18" s="92"/>
      <c r="M18" s="92"/>
      <c r="N18" s="92"/>
      <c r="O18" s="91"/>
      <c r="P18" s="58"/>
      <c r="Q18" s="58"/>
      <c r="R18" s="92"/>
      <c r="S18" s="92"/>
      <c r="T18" s="53"/>
      <c r="U18" s="49"/>
      <c r="V18" s="49"/>
      <c r="W18" s="50"/>
      <c r="X18" s="51"/>
      <c r="Y18" s="59"/>
      <c r="Z18" s="59"/>
      <c r="AA18" s="59"/>
    </row>
    <row r="19" spans="1:27" ht="12.95" customHeight="1" x14ac:dyDescent="0.25">
      <c r="B19" s="87">
        <f>B16+1</f>
        <v>8</v>
      </c>
      <c r="C19" s="435" t="s">
        <v>162</v>
      </c>
      <c r="D19" s="436"/>
      <c r="E19" s="18" t="s">
        <v>6</v>
      </c>
      <c r="F19" s="76">
        <v>1</v>
      </c>
      <c r="G19" s="420"/>
      <c r="H19" s="135">
        <f t="shared" si="0"/>
        <v>0</v>
      </c>
      <c r="J19" s="53"/>
      <c r="K19" s="92"/>
      <c r="L19" s="92"/>
      <c r="M19" s="92"/>
      <c r="N19" s="92"/>
      <c r="O19" s="91"/>
      <c r="P19" s="94"/>
      <c r="Q19" s="92"/>
      <c r="R19" s="92"/>
      <c r="S19" s="92"/>
      <c r="T19" s="53"/>
      <c r="U19" s="49"/>
      <c r="V19" s="49"/>
      <c r="W19" s="50"/>
      <c r="X19" s="51"/>
      <c r="Y19" s="59"/>
      <c r="Z19" s="59"/>
      <c r="AA19" s="59"/>
    </row>
    <row r="20" spans="1:27" ht="12.95" customHeight="1" x14ac:dyDescent="0.25">
      <c r="A20" s="39" t="s">
        <v>51</v>
      </c>
      <c r="B20" s="87">
        <f t="shared" si="1"/>
        <v>9</v>
      </c>
      <c r="C20" s="452" t="s">
        <v>87</v>
      </c>
      <c r="D20" s="453"/>
      <c r="E20" s="18" t="s">
        <v>6</v>
      </c>
      <c r="F20" s="76">
        <v>1</v>
      </c>
      <c r="G20" s="420"/>
      <c r="H20" s="135">
        <f t="shared" si="0"/>
        <v>0</v>
      </c>
      <c r="J20" s="53"/>
      <c r="K20" s="92"/>
      <c r="L20" s="92"/>
      <c r="M20" s="255" t="s">
        <v>228</v>
      </c>
      <c r="N20" s="255"/>
      <c r="O20" s="256"/>
      <c r="P20" s="257"/>
      <c r="Q20" s="258"/>
      <c r="R20" s="258"/>
      <c r="S20" s="92"/>
      <c r="T20" s="53"/>
      <c r="U20" s="49"/>
      <c r="V20" s="49"/>
      <c r="W20" s="50"/>
      <c r="X20" s="51"/>
      <c r="Y20" s="59"/>
      <c r="Z20" s="59"/>
      <c r="AA20" s="59"/>
    </row>
    <row r="21" spans="1:27" ht="12.95" customHeight="1" x14ac:dyDescent="0.25">
      <c r="A21" s="39" t="s">
        <v>51</v>
      </c>
      <c r="B21" s="87">
        <f t="shared" si="1"/>
        <v>10</v>
      </c>
      <c r="C21" s="302" t="s">
        <v>223</v>
      </c>
      <c r="D21" s="497"/>
      <c r="E21" s="165" t="s">
        <v>287</v>
      </c>
      <c r="F21" s="360" t="s">
        <v>287</v>
      </c>
      <c r="G21" s="496"/>
      <c r="H21" s="171" t="s">
        <v>287</v>
      </c>
      <c r="J21" s="53"/>
      <c r="K21" s="92"/>
      <c r="L21" s="92"/>
      <c r="M21" s="255" t="s">
        <v>229</v>
      </c>
      <c r="N21" s="255"/>
      <c r="O21" s="259" t="s">
        <v>230</v>
      </c>
      <c r="P21" s="259" t="s">
        <v>231</v>
      </c>
      <c r="Q21" s="258"/>
      <c r="R21" s="258"/>
      <c r="S21" s="92"/>
      <c r="T21" s="53"/>
      <c r="U21" s="49"/>
      <c r="V21" s="49"/>
      <c r="W21" s="50"/>
      <c r="X21" s="51"/>
      <c r="Y21" s="59"/>
      <c r="Z21" s="59"/>
      <c r="AA21" s="59"/>
    </row>
    <row r="22" spans="1:27" ht="12.95" customHeight="1" x14ac:dyDescent="0.25">
      <c r="A22" s="39" t="s">
        <v>52</v>
      </c>
      <c r="B22" s="87">
        <f t="shared" si="1"/>
        <v>11</v>
      </c>
      <c r="C22" s="283" t="s">
        <v>85</v>
      </c>
      <c r="D22" s="284"/>
      <c r="E22" s="18" t="s">
        <v>5</v>
      </c>
      <c r="F22" s="95">
        <f>IF(A117="YES",ROUNDUP((G105)*A105,0),0)</f>
        <v>54</v>
      </c>
      <c r="G22" s="420"/>
      <c r="H22" s="135">
        <f t="shared" si="0"/>
        <v>0</v>
      </c>
      <c r="K22" s="59"/>
      <c r="L22" s="58"/>
      <c r="M22" s="210" t="s">
        <v>232</v>
      </c>
      <c r="N22" s="210"/>
      <c r="O22" s="210" t="s">
        <v>233</v>
      </c>
      <c r="P22" s="210" t="s">
        <v>234</v>
      </c>
      <c r="Q22" s="225" t="s">
        <v>235</v>
      </c>
      <c r="R22" s="220"/>
      <c r="S22" s="143"/>
      <c r="T22" s="144"/>
      <c r="U22" s="143"/>
      <c r="V22" s="53"/>
      <c r="W22" s="59"/>
      <c r="X22" s="59"/>
      <c r="Y22" s="59"/>
      <c r="Z22" s="59"/>
      <c r="AA22" s="59"/>
    </row>
    <row r="23" spans="1:27" ht="12.95" customHeight="1" x14ac:dyDescent="0.2">
      <c r="A23" s="39" t="s">
        <v>53</v>
      </c>
      <c r="B23" s="87">
        <f t="shared" si="1"/>
        <v>12</v>
      </c>
      <c r="C23" s="302" t="s">
        <v>223</v>
      </c>
      <c r="D23" s="303"/>
      <c r="E23" s="165"/>
      <c r="F23" s="165"/>
      <c r="G23" s="167"/>
      <c r="H23" s="171"/>
      <c r="J23" s="45"/>
      <c r="K23" s="59"/>
      <c r="L23" s="161"/>
      <c r="M23" s="210" t="s">
        <v>236</v>
      </c>
      <c r="N23" s="210"/>
      <c r="O23" s="210" t="s">
        <v>237</v>
      </c>
      <c r="P23" s="210" t="s">
        <v>238</v>
      </c>
      <c r="Q23" s="225" t="s">
        <v>235</v>
      </c>
      <c r="R23" s="260"/>
      <c r="S23" s="145"/>
      <c r="T23" s="145"/>
      <c r="U23" s="145"/>
      <c r="V23" s="145"/>
      <c r="W23" s="49"/>
      <c r="X23" s="49"/>
      <c r="Y23" s="59"/>
      <c r="Z23" s="59"/>
      <c r="AA23" s="59"/>
    </row>
    <row r="24" spans="1:27" ht="12.95" customHeight="1" x14ac:dyDescent="0.2">
      <c r="A24" s="39" t="s">
        <v>67</v>
      </c>
      <c r="B24" s="87">
        <f t="shared" si="1"/>
        <v>13</v>
      </c>
      <c r="C24" s="499" t="s">
        <v>223</v>
      </c>
      <c r="D24" s="500"/>
      <c r="E24" s="498"/>
      <c r="F24" s="166"/>
      <c r="G24" s="501"/>
      <c r="H24" s="502"/>
      <c r="J24" s="96"/>
      <c r="K24" s="90"/>
      <c r="L24" s="174"/>
      <c r="M24" s="210" t="s">
        <v>239</v>
      </c>
      <c r="N24" s="210"/>
      <c r="O24" s="210" t="s">
        <v>240</v>
      </c>
      <c r="P24" s="210" t="s">
        <v>241</v>
      </c>
      <c r="Q24" s="220"/>
      <c r="R24" s="226"/>
      <c r="S24" s="196"/>
      <c r="T24" s="196"/>
      <c r="U24" s="196"/>
      <c r="V24" s="196"/>
      <c r="W24" s="49"/>
      <c r="X24" s="49"/>
      <c r="Y24" s="59"/>
      <c r="Z24" s="59"/>
      <c r="AA24" s="59"/>
    </row>
    <row r="25" spans="1:27" ht="12.95" customHeight="1" x14ac:dyDescent="0.2">
      <c r="B25" s="87">
        <f t="shared" si="1"/>
        <v>14</v>
      </c>
      <c r="C25" s="435" t="s">
        <v>138</v>
      </c>
      <c r="D25" s="436"/>
      <c r="E25" s="18" t="s">
        <v>9</v>
      </c>
      <c r="F25" s="57">
        <v>250</v>
      </c>
      <c r="G25" s="419"/>
      <c r="H25" s="135">
        <f t="shared" si="0"/>
        <v>0</v>
      </c>
      <c r="J25" s="96"/>
      <c r="K25" s="90"/>
      <c r="L25" s="174"/>
      <c r="M25" s="210" t="s">
        <v>239</v>
      </c>
      <c r="N25" s="261"/>
      <c r="O25" s="210" t="s">
        <v>242</v>
      </c>
      <c r="P25" s="210" t="s">
        <v>243</v>
      </c>
      <c r="Q25" s="220"/>
      <c r="R25" s="226"/>
      <c r="S25" s="145"/>
      <c r="T25" s="145"/>
      <c r="U25" s="145"/>
      <c r="V25" s="145"/>
      <c r="W25" s="49"/>
      <c r="X25" s="49"/>
      <c r="Y25" s="59"/>
      <c r="Z25" s="59"/>
      <c r="AA25" s="59"/>
    </row>
    <row r="26" spans="1:27" ht="12.95" customHeight="1" x14ac:dyDescent="0.2">
      <c r="A26" s="39" t="s">
        <v>54</v>
      </c>
      <c r="B26" s="87">
        <f t="shared" si="1"/>
        <v>15</v>
      </c>
      <c r="C26" s="302" t="s">
        <v>223</v>
      </c>
      <c r="D26" s="303"/>
      <c r="E26" s="165"/>
      <c r="F26" s="165"/>
      <c r="G26" s="167"/>
      <c r="H26" s="171"/>
      <c r="J26" s="53"/>
      <c r="K26" s="90"/>
      <c r="L26" s="174"/>
      <c r="M26" s="262" t="s">
        <v>244</v>
      </c>
      <c r="N26" s="210"/>
      <c r="O26" s="210" t="s">
        <v>245</v>
      </c>
      <c r="P26" s="210" t="s">
        <v>246</v>
      </c>
      <c r="Q26" s="220"/>
      <c r="R26" s="260"/>
      <c r="S26" s="145"/>
      <c r="T26" s="145"/>
      <c r="U26" s="145"/>
      <c r="V26" s="145"/>
      <c r="W26" s="49"/>
      <c r="X26" s="49"/>
      <c r="Y26" s="59"/>
      <c r="Z26" s="59"/>
      <c r="AA26" s="59"/>
    </row>
    <row r="27" spans="1:27" ht="12.95" customHeight="1" x14ac:dyDescent="0.2">
      <c r="B27" s="87">
        <f t="shared" si="1"/>
        <v>16</v>
      </c>
      <c r="C27" s="281" t="s">
        <v>84</v>
      </c>
      <c r="D27" s="282"/>
      <c r="E27" s="18" t="s">
        <v>6</v>
      </c>
      <c r="F27" s="95">
        <v>1</v>
      </c>
      <c r="G27" s="419"/>
      <c r="H27" s="135">
        <f t="shared" si="0"/>
        <v>0</v>
      </c>
      <c r="J27" s="53"/>
      <c r="K27" s="90"/>
      <c r="L27" s="174"/>
      <c r="M27" s="262" t="s">
        <v>247</v>
      </c>
      <c r="N27" s="210"/>
      <c r="O27" s="210" t="s">
        <v>248</v>
      </c>
      <c r="P27" s="210" t="s">
        <v>249</v>
      </c>
      <c r="Q27" s="220"/>
      <c r="R27" s="260"/>
      <c r="S27" s="145"/>
      <c r="T27" s="145"/>
      <c r="U27" s="145"/>
      <c r="V27" s="145"/>
      <c r="W27" s="49"/>
      <c r="X27" s="49"/>
      <c r="Y27" s="59"/>
      <c r="Z27" s="59"/>
      <c r="AA27" s="59"/>
    </row>
    <row r="28" spans="1:27" ht="12.95" customHeight="1" x14ac:dyDescent="0.2">
      <c r="A28" s="39" t="s">
        <v>55</v>
      </c>
      <c r="B28" s="87">
        <f t="shared" si="1"/>
        <v>17</v>
      </c>
      <c r="C28" s="435" t="s">
        <v>148</v>
      </c>
      <c r="D28" s="436"/>
      <c r="E28" s="18" t="s">
        <v>6</v>
      </c>
      <c r="F28" s="57">
        <v>3</v>
      </c>
      <c r="G28" s="419"/>
      <c r="H28" s="135">
        <f t="shared" si="0"/>
        <v>0</v>
      </c>
      <c r="J28" s="58"/>
      <c r="K28" s="90"/>
      <c r="L28" s="174"/>
      <c r="M28" s="161"/>
      <c r="N28" s="58"/>
      <c r="O28" s="160"/>
      <c r="Q28" s="59"/>
      <c r="R28" s="144"/>
      <c r="S28" s="145"/>
      <c r="T28" s="145"/>
      <c r="U28" s="145"/>
      <c r="V28" s="145"/>
      <c r="W28" s="49"/>
      <c r="X28" s="49"/>
      <c r="Y28" s="59"/>
      <c r="Z28" s="59"/>
      <c r="AA28" s="59"/>
    </row>
    <row r="29" spans="1:27" ht="12.95" customHeight="1" x14ac:dyDescent="0.2">
      <c r="A29" s="39" t="s">
        <v>56</v>
      </c>
      <c r="B29" s="87">
        <f t="shared" si="1"/>
        <v>18</v>
      </c>
      <c r="C29" s="435" t="s">
        <v>149</v>
      </c>
      <c r="D29" s="436"/>
      <c r="E29" s="18" t="s">
        <v>6</v>
      </c>
      <c r="F29" s="57">
        <v>2</v>
      </c>
      <c r="G29" s="419"/>
      <c r="H29" s="135">
        <f t="shared" si="0"/>
        <v>0</v>
      </c>
      <c r="J29" s="45"/>
      <c r="K29" s="90"/>
      <c r="L29" s="174"/>
      <c r="M29" s="161"/>
      <c r="N29" s="58"/>
      <c r="O29" s="160"/>
      <c r="Q29" s="59"/>
      <c r="R29" s="144"/>
      <c r="S29" s="145"/>
      <c r="T29" s="145"/>
      <c r="U29" s="145"/>
      <c r="V29" s="145"/>
      <c r="W29" s="49"/>
      <c r="X29" s="49"/>
      <c r="Y29" s="59"/>
      <c r="Z29" s="59"/>
      <c r="AA29" s="59"/>
    </row>
    <row r="30" spans="1:27" ht="12.95" customHeight="1" x14ac:dyDescent="0.2">
      <c r="A30" s="39" t="s">
        <v>121</v>
      </c>
      <c r="B30" s="87">
        <f t="shared" si="1"/>
        <v>19</v>
      </c>
      <c r="C30" s="435" t="s">
        <v>150</v>
      </c>
      <c r="D30" s="436"/>
      <c r="E30" s="18" t="s">
        <v>6</v>
      </c>
      <c r="F30" s="95">
        <v>1</v>
      </c>
      <c r="G30" s="419"/>
      <c r="H30" s="135">
        <f>F30*G30</f>
        <v>0</v>
      </c>
      <c r="K30" s="59"/>
      <c r="L30" s="174"/>
      <c r="M30" s="161"/>
      <c r="N30" s="58"/>
      <c r="O30" s="160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12.95" customHeight="1" x14ac:dyDescent="0.2">
      <c r="A31" s="39" t="s">
        <v>57</v>
      </c>
      <c r="B31" s="87">
        <f t="shared" si="1"/>
        <v>20</v>
      </c>
      <c r="C31" s="445" t="s">
        <v>151</v>
      </c>
      <c r="D31" s="446"/>
      <c r="E31" s="18" t="s">
        <v>5</v>
      </c>
      <c r="F31" s="57">
        <f>IF(A114="Yes",5,0)</f>
        <v>5</v>
      </c>
      <c r="G31" s="419"/>
      <c r="H31" s="135">
        <f t="shared" si="0"/>
        <v>0</v>
      </c>
      <c r="J31" s="45"/>
      <c r="K31" s="59"/>
      <c r="L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12.95" customHeight="1" x14ac:dyDescent="0.25">
      <c r="A32" s="39" t="s">
        <v>63</v>
      </c>
      <c r="B32" s="87">
        <f t="shared" si="1"/>
        <v>21</v>
      </c>
      <c r="C32" s="435" t="s">
        <v>157</v>
      </c>
      <c r="D32" s="436"/>
      <c r="E32" s="18" t="s">
        <v>5</v>
      </c>
      <c r="F32" s="97">
        <v>10</v>
      </c>
      <c r="G32" s="419"/>
      <c r="H32" s="135">
        <f>F32*G32</f>
        <v>0</v>
      </c>
      <c r="J32" s="159"/>
      <c r="K32" s="59"/>
      <c r="L32" s="58"/>
      <c r="M32" s="58"/>
      <c r="N32" s="160"/>
      <c r="Q32" s="197"/>
      <c r="R32" s="198"/>
      <c r="S32" s="143"/>
      <c r="T32" s="144"/>
      <c r="U32" s="143"/>
      <c r="V32" s="53"/>
      <c r="W32" s="59"/>
      <c r="X32" s="59"/>
      <c r="Y32" s="59"/>
      <c r="Z32" s="59"/>
      <c r="AA32" s="59"/>
    </row>
    <row r="33" spans="1:27" ht="12.95" customHeight="1" x14ac:dyDescent="0.2">
      <c r="A33" s="39" t="s">
        <v>58</v>
      </c>
      <c r="B33" s="87">
        <f>B32+1</f>
        <v>22</v>
      </c>
      <c r="C33" s="445" t="s">
        <v>198</v>
      </c>
      <c r="D33" s="446"/>
      <c r="E33" s="165"/>
      <c r="F33" s="166"/>
      <c r="G33" s="167"/>
      <c r="H33" s="171"/>
      <c r="J33" s="96"/>
      <c r="K33" s="90"/>
      <c r="L33" s="58"/>
      <c r="M33" s="263" t="s">
        <v>250</v>
      </c>
      <c r="N33" s="226" t="s">
        <v>251</v>
      </c>
      <c r="O33" s="160"/>
      <c r="Q33" s="59"/>
      <c r="R33" s="145"/>
      <c r="S33" s="196"/>
      <c r="T33" s="196"/>
      <c r="U33" s="196"/>
      <c r="V33" s="196"/>
      <c r="W33" s="53"/>
      <c r="X33" s="53"/>
      <c r="Y33" s="59"/>
      <c r="Z33" s="59"/>
      <c r="AA33" s="59"/>
    </row>
    <row r="34" spans="1:27" ht="12.95" customHeight="1" x14ac:dyDescent="0.2">
      <c r="B34" s="164">
        <f>B33+0.1</f>
        <v>22.1</v>
      </c>
      <c r="C34" s="285" t="s">
        <v>143</v>
      </c>
      <c r="D34" s="286"/>
      <c r="E34" s="18" t="s">
        <v>6</v>
      </c>
      <c r="F34" s="56">
        <v>2</v>
      </c>
      <c r="G34" s="419"/>
      <c r="H34" s="153">
        <f t="shared" si="0"/>
        <v>0</v>
      </c>
      <c r="J34" s="96"/>
      <c r="K34" s="90"/>
      <c r="L34" s="58"/>
      <c r="M34" s="264">
        <v>0</v>
      </c>
      <c r="N34" s="264">
        <v>2</v>
      </c>
      <c r="O34" s="160"/>
      <c r="Q34" s="59"/>
      <c r="R34" s="145"/>
      <c r="S34" s="145"/>
      <c r="T34" s="145"/>
      <c r="U34" s="145"/>
      <c r="V34" s="145"/>
      <c r="W34" s="145"/>
      <c r="X34" s="145"/>
      <c r="Y34" s="59"/>
      <c r="Z34" s="59"/>
      <c r="AA34" s="59"/>
    </row>
    <row r="35" spans="1:27" ht="12.95" customHeight="1" x14ac:dyDescent="0.2">
      <c r="B35" s="164">
        <f t="shared" ref="B35:B38" si="2">B34+0.1</f>
        <v>22.200000000000003</v>
      </c>
      <c r="C35" s="302" t="s">
        <v>223</v>
      </c>
      <c r="D35" s="303"/>
      <c r="E35" s="165"/>
      <c r="F35" s="165"/>
      <c r="G35" s="167"/>
      <c r="H35" s="171"/>
      <c r="J35" s="53"/>
      <c r="K35" s="90"/>
      <c r="L35" s="58"/>
      <c r="M35" s="264">
        <v>1</v>
      </c>
      <c r="N35" s="264">
        <v>0</v>
      </c>
      <c r="O35" s="160"/>
      <c r="Q35" s="59"/>
      <c r="R35" s="144"/>
      <c r="S35" s="145"/>
      <c r="T35" s="145"/>
      <c r="U35" s="145"/>
      <c r="V35" s="145"/>
      <c r="W35" s="145"/>
      <c r="X35" s="145"/>
      <c r="Y35" s="59"/>
      <c r="Z35" s="59"/>
      <c r="AA35" s="59"/>
    </row>
    <row r="36" spans="1:27" ht="12.95" customHeight="1" x14ac:dyDescent="0.2">
      <c r="B36" s="164">
        <f t="shared" si="2"/>
        <v>22.300000000000004</v>
      </c>
      <c r="C36" s="285" t="s">
        <v>144</v>
      </c>
      <c r="D36" s="286"/>
      <c r="E36" s="18" t="s">
        <v>6</v>
      </c>
      <c r="F36" s="57">
        <v>2</v>
      </c>
      <c r="G36" s="419"/>
      <c r="H36" s="153">
        <f t="shared" si="0"/>
        <v>0</v>
      </c>
      <c r="J36" s="53"/>
      <c r="K36" s="90"/>
      <c r="L36" s="58"/>
      <c r="M36" s="264">
        <v>2</v>
      </c>
      <c r="N36" s="264">
        <v>1</v>
      </c>
      <c r="O36" s="160"/>
      <c r="Q36" s="59"/>
      <c r="R36" s="144"/>
      <c r="S36" s="145"/>
      <c r="T36" s="145"/>
      <c r="U36" s="145"/>
      <c r="V36" s="145"/>
      <c r="W36" s="145"/>
      <c r="X36" s="145"/>
      <c r="Y36" s="59"/>
      <c r="Z36" s="59"/>
      <c r="AA36" s="59"/>
    </row>
    <row r="37" spans="1:27" ht="12.95" customHeight="1" x14ac:dyDescent="0.2">
      <c r="B37" s="164">
        <f t="shared" si="2"/>
        <v>22.400000000000006</v>
      </c>
      <c r="C37" s="285" t="s">
        <v>145</v>
      </c>
      <c r="D37" s="286"/>
      <c r="E37" s="18" t="s">
        <v>6</v>
      </c>
      <c r="F37" s="57">
        <v>1</v>
      </c>
      <c r="G37" s="419"/>
      <c r="H37" s="153">
        <f t="shared" si="0"/>
        <v>0</v>
      </c>
      <c r="J37" s="58"/>
      <c r="K37" s="90"/>
      <c r="L37" s="58"/>
      <c r="M37" s="264">
        <v>0</v>
      </c>
      <c r="N37" s="264">
        <v>1</v>
      </c>
      <c r="O37" s="160"/>
      <c r="Q37" s="59"/>
      <c r="R37" s="144"/>
      <c r="S37" s="145"/>
      <c r="T37" s="145"/>
      <c r="U37" s="145"/>
      <c r="V37" s="145"/>
      <c r="W37" s="145"/>
      <c r="X37" s="145"/>
      <c r="Y37" s="59"/>
      <c r="Z37" s="59"/>
      <c r="AA37" s="59"/>
    </row>
    <row r="38" spans="1:27" ht="12.95" customHeight="1" x14ac:dyDescent="0.2">
      <c r="B38" s="164">
        <f t="shared" si="2"/>
        <v>22.500000000000007</v>
      </c>
      <c r="C38" s="285" t="s">
        <v>146</v>
      </c>
      <c r="D38" s="286"/>
      <c r="E38" s="18" t="s">
        <v>6</v>
      </c>
      <c r="F38" s="57">
        <v>2</v>
      </c>
      <c r="G38" s="419"/>
      <c r="H38" s="153">
        <f t="shared" si="0"/>
        <v>0</v>
      </c>
      <c r="J38" s="45"/>
      <c r="K38" s="90"/>
      <c r="L38" s="58"/>
      <c r="M38" s="161"/>
      <c r="N38" s="162"/>
      <c r="Q38" s="59"/>
      <c r="R38" s="144"/>
      <c r="S38" s="145"/>
      <c r="T38" s="145"/>
      <c r="U38" s="145"/>
      <c r="V38" s="145"/>
      <c r="W38" s="145"/>
      <c r="X38" s="145"/>
      <c r="Y38" s="59"/>
      <c r="Z38" s="59"/>
      <c r="AA38" s="59"/>
    </row>
    <row r="39" spans="1:27" ht="12.95" customHeight="1" x14ac:dyDescent="0.2">
      <c r="A39" s="39" t="s">
        <v>59</v>
      </c>
      <c r="B39" s="87">
        <f>B33+1</f>
        <v>23</v>
      </c>
      <c r="C39" s="445" t="s">
        <v>147</v>
      </c>
      <c r="D39" s="446"/>
      <c r="E39" s="18" t="s">
        <v>6</v>
      </c>
      <c r="F39" s="95">
        <f>IF(A114="Yes",1,0)</f>
        <v>1</v>
      </c>
      <c r="G39" s="419"/>
      <c r="H39" s="135">
        <f t="shared" si="0"/>
        <v>0</v>
      </c>
      <c r="J39" s="45"/>
      <c r="N39" s="58"/>
      <c r="Y39" s="59"/>
      <c r="Z39" s="59"/>
      <c r="AA39" s="59"/>
    </row>
    <row r="40" spans="1:27" ht="12.95" customHeight="1" x14ac:dyDescent="0.2">
      <c r="A40" s="39" t="s">
        <v>60</v>
      </c>
      <c r="B40" s="87">
        <f t="shared" si="1"/>
        <v>24</v>
      </c>
      <c r="C40" s="435" t="s">
        <v>201</v>
      </c>
      <c r="D40" s="436"/>
      <c r="E40" s="18" t="s">
        <v>6</v>
      </c>
      <c r="F40" s="95">
        <v>1</v>
      </c>
      <c r="G40" s="419"/>
      <c r="H40" s="135">
        <f t="shared" si="0"/>
        <v>0</v>
      </c>
      <c r="J40" s="159"/>
      <c r="K40" s="59"/>
      <c r="L40" s="58"/>
      <c r="M40" s="58"/>
      <c r="N40" s="160"/>
      <c r="Y40" s="59"/>
      <c r="Z40" s="59"/>
      <c r="AA40" s="59"/>
    </row>
    <row r="41" spans="1:27" ht="12.95" customHeight="1" x14ac:dyDescent="0.2">
      <c r="A41" s="39" t="s">
        <v>61</v>
      </c>
      <c r="B41" s="87">
        <f t="shared" si="1"/>
        <v>25</v>
      </c>
      <c r="C41" s="435" t="s">
        <v>113</v>
      </c>
      <c r="D41" s="436"/>
      <c r="E41" s="18" t="s">
        <v>6</v>
      </c>
      <c r="F41" s="95">
        <v>2</v>
      </c>
      <c r="G41" s="419"/>
      <c r="H41" s="135">
        <f t="shared" si="0"/>
        <v>0</v>
      </c>
      <c r="J41" s="45"/>
      <c r="L41" s="45"/>
      <c r="M41" s="161"/>
      <c r="N41" s="58"/>
      <c r="O41" s="160"/>
      <c r="Y41" s="59"/>
      <c r="Z41" s="59"/>
      <c r="AA41" s="59"/>
    </row>
    <row r="42" spans="1:27" ht="12.95" customHeight="1" x14ac:dyDescent="0.2">
      <c r="B42" s="87">
        <f t="shared" si="1"/>
        <v>26</v>
      </c>
      <c r="C42" s="238" t="s">
        <v>226</v>
      </c>
      <c r="D42" s="240"/>
      <c r="E42" s="231" t="s">
        <v>6</v>
      </c>
      <c r="F42" s="95">
        <v>1</v>
      </c>
      <c r="G42" s="419"/>
      <c r="H42" s="135">
        <f t="shared" si="0"/>
        <v>0</v>
      </c>
      <c r="J42" s="96"/>
      <c r="K42" s="90"/>
      <c r="L42" s="58"/>
      <c r="M42" s="161"/>
      <c r="N42" s="58"/>
      <c r="O42" s="160"/>
      <c r="Y42" s="59"/>
      <c r="Z42" s="59"/>
      <c r="AA42" s="59"/>
    </row>
    <row r="43" spans="1:27" x14ac:dyDescent="0.2">
      <c r="B43" s="87">
        <f>B42+1</f>
        <v>27</v>
      </c>
      <c r="C43" s="435" t="s">
        <v>70</v>
      </c>
      <c r="D43" s="436"/>
      <c r="E43" s="25" t="s">
        <v>6</v>
      </c>
      <c r="F43" s="95">
        <f>IF(A114="Yes",1,0)</f>
        <v>1</v>
      </c>
      <c r="G43" s="419"/>
      <c r="H43" s="135">
        <f t="shared" ref="H43:H62" si="3">F43*G43</f>
        <v>0</v>
      </c>
      <c r="J43" s="96"/>
      <c r="K43" s="90"/>
      <c r="L43" s="58"/>
      <c r="M43" s="161"/>
      <c r="N43" s="58"/>
      <c r="O43" s="160"/>
    </row>
    <row r="44" spans="1:27" x14ac:dyDescent="0.2">
      <c r="A44" s="39" t="s">
        <v>64</v>
      </c>
      <c r="B44" s="87">
        <f t="shared" si="1"/>
        <v>28</v>
      </c>
      <c r="C44" s="435" t="s">
        <v>122</v>
      </c>
      <c r="D44" s="436"/>
      <c r="E44" s="18" t="s">
        <v>6</v>
      </c>
      <c r="F44" s="95">
        <v>1</v>
      </c>
      <c r="G44" s="419"/>
      <c r="H44" s="135">
        <f t="shared" si="3"/>
        <v>0</v>
      </c>
      <c r="J44" s="53"/>
      <c r="K44" s="90"/>
      <c r="L44" s="58"/>
      <c r="M44" s="161"/>
      <c r="N44" s="58"/>
      <c r="O44" s="160"/>
    </row>
    <row r="45" spans="1:27" x14ac:dyDescent="0.2">
      <c r="A45" s="39" t="s">
        <v>65</v>
      </c>
      <c r="B45" s="87">
        <f t="shared" si="1"/>
        <v>29</v>
      </c>
      <c r="C45" s="435" t="s">
        <v>11</v>
      </c>
      <c r="D45" s="436"/>
      <c r="E45" s="18" t="s">
        <v>35</v>
      </c>
      <c r="F45" s="95">
        <v>1</v>
      </c>
      <c r="G45" s="419"/>
      <c r="H45" s="139">
        <f t="shared" si="3"/>
        <v>0</v>
      </c>
      <c r="J45" s="53"/>
      <c r="K45" s="90"/>
      <c r="L45" s="58"/>
      <c r="M45" s="161"/>
      <c r="N45" s="58"/>
      <c r="O45" s="160"/>
    </row>
    <row r="46" spans="1:27" x14ac:dyDescent="0.2">
      <c r="A46" s="39" t="s">
        <v>66</v>
      </c>
      <c r="B46" s="87">
        <f t="shared" si="1"/>
        <v>30</v>
      </c>
      <c r="C46" s="435" t="s">
        <v>269</v>
      </c>
      <c r="D46" s="436"/>
      <c r="E46" s="18" t="s">
        <v>5</v>
      </c>
      <c r="F46" s="95">
        <v>70</v>
      </c>
      <c r="G46" s="419"/>
      <c r="H46" s="139">
        <f t="shared" ref="H46" si="4">F46*G46</f>
        <v>0</v>
      </c>
      <c r="J46" s="58"/>
      <c r="K46" s="90"/>
      <c r="L46" s="58"/>
      <c r="M46" s="161"/>
      <c r="N46" s="58"/>
    </row>
    <row r="47" spans="1:27" ht="12.95" customHeight="1" x14ac:dyDescent="0.2">
      <c r="B47" s="87">
        <f>B46+1</f>
        <v>31</v>
      </c>
      <c r="C47" s="481" t="s">
        <v>224</v>
      </c>
      <c r="D47" s="482"/>
      <c r="E47" s="18" t="s">
        <v>6</v>
      </c>
      <c r="F47" s="57">
        <v>1</v>
      </c>
      <c r="G47" s="419"/>
      <c r="H47" s="139">
        <f t="shared" si="3"/>
        <v>0</v>
      </c>
      <c r="J47" s="45"/>
      <c r="N47" s="58"/>
      <c r="Y47" s="59"/>
      <c r="Z47" s="59"/>
      <c r="AA47" s="59"/>
    </row>
    <row r="48" spans="1:27" ht="12.95" customHeight="1" x14ac:dyDescent="0.2">
      <c r="B48" s="87">
        <f t="shared" si="1"/>
        <v>32</v>
      </c>
      <c r="C48" s="238" t="s">
        <v>225</v>
      </c>
      <c r="D48" s="291"/>
      <c r="E48" s="18" t="s">
        <v>6</v>
      </c>
      <c r="F48" s="57">
        <v>1</v>
      </c>
      <c r="G48" s="419"/>
      <c r="H48" s="139">
        <f t="shared" si="3"/>
        <v>0</v>
      </c>
      <c r="Q48" s="72"/>
      <c r="R48" s="63"/>
      <c r="S48" s="58"/>
      <c r="T48" s="59"/>
      <c r="U48" s="58"/>
      <c r="V48" s="72"/>
      <c r="W48" s="63"/>
      <c r="X48" s="63"/>
      <c r="Y48" s="59"/>
      <c r="Z48" s="59"/>
      <c r="AA48" s="59"/>
    </row>
    <row r="49" spans="1:27" ht="12.95" customHeight="1" x14ac:dyDescent="0.2">
      <c r="A49" s="39" t="s">
        <v>80</v>
      </c>
      <c r="B49" s="87">
        <f t="shared" si="1"/>
        <v>33</v>
      </c>
      <c r="C49" s="287" t="s">
        <v>75</v>
      </c>
      <c r="D49" s="288"/>
      <c r="E49" s="78" t="s">
        <v>6</v>
      </c>
      <c r="F49" s="95">
        <v>1</v>
      </c>
      <c r="G49" s="421"/>
      <c r="H49" s="139">
        <f t="shared" si="3"/>
        <v>0</v>
      </c>
      <c r="Q49" s="72"/>
      <c r="R49" s="63"/>
      <c r="S49" s="58"/>
      <c r="T49" s="59"/>
      <c r="U49" s="58"/>
      <c r="V49" s="72"/>
      <c r="W49" s="63"/>
      <c r="X49" s="63"/>
      <c r="Y49" s="59"/>
      <c r="Z49" s="59"/>
      <c r="AA49" s="59"/>
    </row>
    <row r="50" spans="1:27" ht="12.95" customHeight="1" x14ac:dyDescent="0.2">
      <c r="A50" s="39" t="s">
        <v>81</v>
      </c>
      <c r="B50" s="87">
        <f t="shared" si="1"/>
        <v>34</v>
      </c>
      <c r="C50" s="287" t="s">
        <v>77</v>
      </c>
      <c r="D50" s="288"/>
      <c r="E50" s="78" t="s">
        <v>6</v>
      </c>
      <c r="F50" s="95">
        <v>1</v>
      </c>
      <c r="G50" s="421"/>
      <c r="H50" s="139">
        <f t="shared" si="3"/>
        <v>0</v>
      </c>
      <c r="N50" s="58"/>
      <c r="O50" s="59"/>
      <c r="P50" s="58"/>
      <c r="Q50" s="72"/>
      <c r="R50" s="63"/>
      <c r="S50" s="58"/>
      <c r="T50" s="59"/>
      <c r="U50" s="58"/>
      <c r="V50" s="72"/>
      <c r="W50" s="63"/>
      <c r="X50" s="63"/>
      <c r="Y50" s="59"/>
      <c r="Z50" s="59"/>
      <c r="AA50" s="59"/>
    </row>
    <row r="51" spans="1:27" ht="12.95" customHeight="1" x14ac:dyDescent="0.2">
      <c r="A51" s="39" t="s">
        <v>72</v>
      </c>
      <c r="B51" s="87">
        <f t="shared" si="1"/>
        <v>35</v>
      </c>
      <c r="C51" s="287" t="s">
        <v>74</v>
      </c>
      <c r="D51" s="288"/>
      <c r="E51" s="78" t="s">
        <v>6</v>
      </c>
      <c r="F51" s="95">
        <v>1</v>
      </c>
      <c r="G51" s="421"/>
      <c r="H51" s="139">
        <f t="shared" si="3"/>
        <v>0</v>
      </c>
      <c r="J51" s="45"/>
      <c r="K51" s="76"/>
      <c r="L51" s="76"/>
      <c r="M51" s="98"/>
      <c r="N51" s="163"/>
      <c r="O51" s="59"/>
      <c r="P51" s="58"/>
      <c r="Q51" s="72"/>
      <c r="R51" s="63"/>
      <c r="S51" s="58"/>
      <c r="T51" s="59"/>
      <c r="U51" s="58"/>
      <c r="V51" s="72"/>
      <c r="W51" s="63"/>
      <c r="X51" s="63"/>
      <c r="Y51" s="59"/>
      <c r="Z51" s="59"/>
      <c r="AA51" s="59"/>
    </row>
    <row r="52" spans="1:27" ht="12.95" customHeight="1" x14ac:dyDescent="0.2">
      <c r="B52" s="164">
        <f>B51+0.1</f>
        <v>35.1</v>
      </c>
      <c r="C52" s="212" t="s">
        <v>195</v>
      </c>
      <c r="D52" s="213"/>
      <c r="E52" s="210" t="s">
        <v>6</v>
      </c>
      <c r="F52" s="210">
        <v>1</v>
      </c>
      <c r="G52" s="422"/>
      <c r="H52" s="215">
        <f t="shared" si="3"/>
        <v>0</v>
      </c>
      <c r="J52" s="45"/>
      <c r="K52" s="76"/>
      <c r="L52" s="76"/>
      <c r="M52" s="98"/>
      <c r="N52" s="163"/>
      <c r="O52" s="59"/>
      <c r="P52" s="58"/>
      <c r="Q52" s="72"/>
      <c r="R52" s="63"/>
      <c r="S52" s="58"/>
      <c r="T52" s="59"/>
      <c r="U52" s="58"/>
      <c r="V52" s="72"/>
      <c r="W52" s="63"/>
      <c r="X52" s="63"/>
      <c r="Y52" s="59"/>
      <c r="Z52" s="59"/>
      <c r="AA52" s="59"/>
    </row>
    <row r="53" spans="1:27" ht="12.95" customHeight="1" x14ac:dyDescent="0.2">
      <c r="B53" s="87">
        <f>B51+1</f>
        <v>36</v>
      </c>
      <c r="C53" s="287" t="s">
        <v>135</v>
      </c>
      <c r="D53" s="288"/>
      <c r="E53" s="78" t="s">
        <v>6</v>
      </c>
      <c r="F53" s="95">
        <v>1</v>
      </c>
      <c r="G53" s="421"/>
      <c r="H53" s="139">
        <f t="shared" si="3"/>
        <v>0</v>
      </c>
      <c r="J53" s="45"/>
      <c r="K53" s="199"/>
      <c r="L53" s="199"/>
      <c r="M53" s="98"/>
      <c r="N53" s="163"/>
      <c r="O53" s="59"/>
      <c r="P53" s="58"/>
      <c r="Q53" s="72"/>
      <c r="R53" s="63"/>
      <c r="S53" s="58"/>
      <c r="T53" s="59"/>
      <c r="U53" s="58"/>
      <c r="V53" s="72"/>
      <c r="W53" s="63"/>
      <c r="X53" s="63"/>
      <c r="Y53" s="59"/>
      <c r="Z53" s="59"/>
      <c r="AA53" s="59"/>
    </row>
    <row r="54" spans="1:27" ht="12.95" customHeight="1" x14ac:dyDescent="0.2">
      <c r="B54" s="87">
        <f t="shared" si="1"/>
        <v>37</v>
      </c>
      <c r="C54" s="287" t="s">
        <v>136</v>
      </c>
      <c r="D54" s="288"/>
      <c r="E54" s="78" t="s">
        <v>6</v>
      </c>
      <c r="F54" s="95">
        <v>1</v>
      </c>
      <c r="G54" s="421"/>
      <c r="H54" s="139">
        <f t="shared" si="3"/>
        <v>0</v>
      </c>
      <c r="N54" s="58"/>
      <c r="O54" s="59"/>
      <c r="P54" s="58"/>
      <c r="Q54" s="62"/>
      <c r="R54" s="63"/>
      <c r="S54" s="58"/>
      <c r="T54" s="70"/>
      <c r="U54" s="58"/>
      <c r="V54" s="62"/>
      <c r="W54" s="63"/>
      <c r="X54" s="71"/>
      <c r="Y54" s="59"/>
      <c r="Z54" s="59"/>
      <c r="AA54" s="59"/>
    </row>
    <row r="55" spans="1:27" ht="12.95" customHeight="1" x14ac:dyDescent="0.2">
      <c r="A55" s="39" t="s">
        <v>82</v>
      </c>
      <c r="B55" s="87">
        <f t="shared" si="1"/>
        <v>38</v>
      </c>
      <c r="C55" s="287" t="s">
        <v>76</v>
      </c>
      <c r="D55" s="288"/>
      <c r="E55" s="78" t="s">
        <v>5</v>
      </c>
      <c r="F55" s="95">
        <v>30</v>
      </c>
      <c r="G55" s="421"/>
      <c r="H55" s="135">
        <f t="shared" si="3"/>
        <v>0</v>
      </c>
      <c r="N55" s="58"/>
      <c r="O55" s="70"/>
      <c r="P55" s="58"/>
      <c r="Q55" s="62"/>
      <c r="R55" s="63"/>
      <c r="S55" s="58"/>
      <c r="T55" s="70"/>
      <c r="U55" s="58"/>
      <c r="V55" s="62"/>
      <c r="W55" s="63"/>
      <c r="X55" s="71"/>
      <c r="Y55" s="59"/>
      <c r="Z55" s="59"/>
      <c r="AA55" s="59"/>
    </row>
    <row r="56" spans="1:27" ht="12.95" customHeight="1" x14ac:dyDescent="0.2">
      <c r="A56" s="39" t="s">
        <v>104</v>
      </c>
      <c r="B56" s="87">
        <f t="shared" si="1"/>
        <v>39</v>
      </c>
      <c r="C56" s="287" t="s">
        <v>132</v>
      </c>
      <c r="D56" s="288"/>
      <c r="E56" s="78" t="s">
        <v>5</v>
      </c>
      <c r="F56" s="95">
        <v>10</v>
      </c>
      <c r="G56" s="421"/>
      <c r="H56" s="135">
        <f t="shared" si="3"/>
        <v>0</v>
      </c>
      <c r="N56" s="58"/>
      <c r="O56" s="70"/>
      <c r="P56" s="58"/>
      <c r="Q56" s="62"/>
      <c r="R56" s="63"/>
      <c r="S56" s="58"/>
      <c r="T56" s="70"/>
      <c r="U56" s="58"/>
      <c r="V56" s="62"/>
      <c r="W56" s="63"/>
      <c r="X56" s="71"/>
      <c r="Y56" s="59"/>
      <c r="Z56" s="59"/>
      <c r="AA56" s="59"/>
    </row>
    <row r="57" spans="1:27" ht="12.95" customHeight="1" x14ac:dyDescent="0.2">
      <c r="A57" s="39" t="s">
        <v>83</v>
      </c>
      <c r="B57" s="87">
        <f t="shared" si="1"/>
        <v>40</v>
      </c>
      <c r="C57" s="287" t="s">
        <v>79</v>
      </c>
      <c r="D57" s="288"/>
      <c r="E57" s="78" t="s">
        <v>6</v>
      </c>
      <c r="F57" s="95">
        <v>1</v>
      </c>
      <c r="G57" s="421"/>
      <c r="H57" s="135">
        <f t="shared" si="3"/>
        <v>0</v>
      </c>
      <c r="N57" s="58"/>
      <c r="O57" s="70"/>
      <c r="P57" s="58"/>
      <c r="Q57" s="62"/>
      <c r="R57" s="63"/>
      <c r="S57" s="58"/>
      <c r="T57" s="70"/>
      <c r="U57" s="58"/>
      <c r="V57" s="62"/>
      <c r="W57" s="63"/>
      <c r="X57" s="71"/>
      <c r="Y57" s="59"/>
      <c r="Z57" s="59"/>
      <c r="AA57" s="59"/>
    </row>
    <row r="58" spans="1:27" ht="12.95" customHeight="1" x14ac:dyDescent="0.2">
      <c r="B58" s="87">
        <f t="shared" si="1"/>
        <v>41</v>
      </c>
      <c r="C58" s="212" t="s">
        <v>260</v>
      </c>
      <c r="D58" s="213"/>
      <c r="E58" s="274" t="s">
        <v>35</v>
      </c>
      <c r="F58" s="210">
        <v>1</v>
      </c>
      <c r="G58" s="422"/>
      <c r="H58" s="215">
        <f t="shared" si="3"/>
        <v>0</v>
      </c>
      <c r="N58" s="58"/>
      <c r="O58" s="70"/>
      <c r="P58" s="58"/>
      <c r="Q58" s="62"/>
      <c r="R58" s="63"/>
      <c r="S58" s="58"/>
      <c r="T58" s="70"/>
      <c r="U58" s="58"/>
      <c r="V58" s="62"/>
      <c r="W58" s="63"/>
      <c r="X58" s="71"/>
      <c r="Y58" s="59"/>
      <c r="Z58" s="59"/>
      <c r="AA58" s="59"/>
    </row>
    <row r="59" spans="1:27" ht="12.95" customHeight="1" x14ac:dyDescent="0.2">
      <c r="B59" s="87">
        <f t="shared" si="1"/>
        <v>42</v>
      </c>
      <c r="C59" s="287" t="s">
        <v>119</v>
      </c>
      <c r="D59" s="288"/>
      <c r="E59" s="99" t="s">
        <v>35</v>
      </c>
      <c r="F59" s="95">
        <v>1</v>
      </c>
      <c r="G59" s="421"/>
      <c r="H59" s="135">
        <f t="shared" si="3"/>
        <v>0</v>
      </c>
      <c r="N59" s="58"/>
      <c r="O59" s="70"/>
      <c r="P59" s="58"/>
      <c r="Q59" s="62"/>
      <c r="R59" s="63"/>
      <c r="S59" s="58"/>
      <c r="T59" s="70"/>
      <c r="U59" s="58"/>
      <c r="V59" s="62"/>
      <c r="W59" s="63"/>
      <c r="X59" s="71"/>
      <c r="Y59" s="59"/>
      <c r="Z59" s="59"/>
      <c r="AA59" s="59"/>
    </row>
    <row r="60" spans="1:27" ht="12.95" customHeight="1" x14ac:dyDescent="0.2">
      <c r="B60" s="87">
        <f t="shared" si="1"/>
        <v>43</v>
      </c>
      <c r="C60" s="281" t="s">
        <v>100</v>
      </c>
      <c r="D60" s="282"/>
      <c r="E60" s="25" t="s">
        <v>73</v>
      </c>
      <c r="F60" s="95">
        <v>40</v>
      </c>
      <c r="G60" s="419"/>
      <c r="H60" s="135">
        <f t="shared" si="3"/>
        <v>0</v>
      </c>
      <c r="N60" s="58"/>
      <c r="O60" s="70"/>
      <c r="P60" s="58"/>
      <c r="Q60" s="62"/>
      <c r="R60" s="63"/>
      <c r="S60" s="58"/>
      <c r="T60" s="70"/>
      <c r="U60" s="58"/>
      <c r="V60" s="62"/>
      <c r="W60" s="63"/>
      <c r="X60" s="71"/>
      <c r="Y60" s="59"/>
      <c r="Z60" s="59"/>
      <c r="AA60" s="59"/>
    </row>
    <row r="61" spans="1:27" ht="12.95" customHeight="1" x14ac:dyDescent="0.2">
      <c r="A61" s="39" t="s">
        <v>89</v>
      </c>
      <c r="B61" s="87">
        <f>B60+1</f>
        <v>44</v>
      </c>
      <c r="C61" s="281" t="s">
        <v>268</v>
      </c>
      <c r="D61" s="282"/>
      <c r="E61" s="25" t="s">
        <v>9</v>
      </c>
      <c r="F61" s="95">
        <f>E110*0.5</f>
        <v>388</v>
      </c>
      <c r="G61" s="419"/>
      <c r="H61" s="137">
        <f t="shared" si="3"/>
        <v>0</v>
      </c>
      <c r="N61" s="58"/>
      <c r="O61" s="70"/>
      <c r="P61" s="58"/>
      <c r="Q61" s="62"/>
      <c r="R61" s="63"/>
      <c r="S61" s="58"/>
      <c r="T61" s="70"/>
      <c r="U61" s="58"/>
      <c r="V61" s="62"/>
      <c r="W61" s="63"/>
      <c r="X61" s="71"/>
      <c r="Y61" s="59"/>
      <c r="Z61" s="59"/>
      <c r="AA61" s="59"/>
    </row>
    <row r="62" spans="1:27" ht="12.95" customHeight="1" x14ac:dyDescent="0.2">
      <c r="A62" s="39" t="s">
        <v>90</v>
      </c>
      <c r="B62" s="87">
        <f>B61+1</f>
        <v>45</v>
      </c>
      <c r="C62" s="281" t="s">
        <v>103</v>
      </c>
      <c r="D62" s="282"/>
      <c r="E62" s="25" t="s">
        <v>73</v>
      </c>
      <c r="F62" s="95">
        <v>60</v>
      </c>
      <c r="G62" s="419"/>
      <c r="H62" s="137">
        <f t="shared" si="3"/>
        <v>0</v>
      </c>
      <c r="N62" s="58"/>
      <c r="O62" s="70"/>
      <c r="P62" s="58"/>
      <c r="Q62" s="72"/>
      <c r="R62" s="63"/>
      <c r="S62" s="58"/>
      <c r="T62" s="59"/>
      <c r="U62" s="58"/>
      <c r="V62" s="72"/>
      <c r="W62" s="63"/>
      <c r="X62" s="63"/>
      <c r="Y62" s="59"/>
      <c r="Z62" s="59"/>
      <c r="AA62" s="59"/>
    </row>
    <row r="63" spans="1:27" ht="12.95" customHeight="1" x14ac:dyDescent="0.2">
      <c r="B63" s="87">
        <f t="shared" si="1"/>
        <v>46</v>
      </c>
      <c r="C63" s="190" t="s">
        <v>125</v>
      </c>
      <c r="D63" s="191"/>
      <c r="E63" s="78" t="s">
        <v>73</v>
      </c>
      <c r="F63" s="95">
        <v>200</v>
      </c>
      <c r="G63" s="423"/>
      <c r="H63" s="137">
        <f t="shared" ref="H63" si="5">F63*G63</f>
        <v>0</v>
      </c>
      <c r="N63" s="58"/>
      <c r="O63" s="70"/>
      <c r="P63" s="58"/>
      <c r="Q63" s="124"/>
      <c r="R63" s="63"/>
      <c r="S63" s="58"/>
      <c r="T63" s="59"/>
      <c r="U63" s="58"/>
      <c r="V63" s="75"/>
      <c r="W63" s="63"/>
      <c r="X63" s="63"/>
      <c r="Y63" s="59"/>
      <c r="Z63" s="59"/>
      <c r="AA63" s="59"/>
    </row>
    <row r="64" spans="1:27" ht="12.95" customHeight="1" x14ac:dyDescent="0.2">
      <c r="A64" s="39" t="s">
        <v>156</v>
      </c>
      <c r="B64" s="87">
        <f>B63+1</f>
        <v>47</v>
      </c>
      <c r="C64" s="302" t="s">
        <v>223</v>
      </c>
      <c r="D64" s="303"/>
      <c r="E64" s="165"/>
      <c r="F64" s="165"/>
      <c r="G64" s="167"/>
      <c r="H64" s="171"/>
      <c r="K64" s="59"/>
      <c r="L64" s="59"/>
      <c r="M64" s="59"/>
      <c r="N64" s="58"/>
      <c r="O64" s="59"/>
      <c r="P64" s="58"/>
      <c r="Q64" s="125"/>
      <c r="R64" s="63"/>
      <c r="S64" s="58"/>
      <c r="T64" s="59"/>
      <c r="U64" s="58"/>
      <c r="V64" s="62"/>
      <c r="W64" s="63"/>
      <c r="X64" s="63"/>
      <c r="Y64" s="59"/>
      <c r="Z64" s="59"/>
      <c r="AA64" s="59"/>
    </row>
    <row r="65" spans="1:24" ht="12.95" customHeight="1" x14ac:dyDescent="0.2">
      <c r="B65" s="87">
        <f>B64+1</f>
        <v>48</v>
      </c>
      <c r="C65" s="302" t="s">
        <v>223</v>
      </c>
      <c r="D65" s="303"/>
      <c r="E65" s="165"/>
      <c r="F65" s="165"/>
      <c r="G65" s="167"/>
      <c r="H65" s="171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</row>
    <row r="66" spans="1:24" ht="12.95" customHeight="1" x14ac:dyDescent="0.2">
      <c r="B66" s="87">
        <f t="shared" ref="B66:B69" si="6">B65+1</f>
        <v>49</v>
      </c>
      <c r="C66" s="192" t="s">
        <v>196</v>
      </c>
      <c r="D66" s="193"/>
      <c r="E66" s="194" t="s">
        <v>155</v>
      </c>
      <c r="F66" s="301">
        <v>10</v>
      </c>
      <c r="G66" s="423"/>
      <c r="H66" s="137">
        <f t="shared" ref="H66" si="7">F66*G66</f>
        <v>0</v>
      </c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</row>
    <row r="67" spans="1:24" ht="12.95" customHeight="1" x14ac:dyDescent="0.2">
      <c r="B67" s="87">
        <f t="shared" si="6"/>
        <v>50</v>
      </c>
      <c r="C67" s="302" t="s">
        <v>223</v>
      </c>
      <c r="D67" s="303"/>
      <c r="E67" s="165"/>
      <c r="F67" s="165"/>
      <c r="G67" s="167"/>
      <c r="H67" s="171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</row>
    <row r="68" spans="1:24" ht="12.95" customHeight="1" x14ac:dyDescent="0.2">
      <c r="B68" s="87">
        <f t="shared" si="6"/>
        <v>51</v>
      </c>
      <c r="C68" s="302" t="s">
        <v>223</v>
      </c>
      <c r="D68" s="303"/>
      <c r="E68" s="165"/>
      <c r="F68" s="165"/>
      <c r="G68" s="167"/>
      <c r="H68" s="171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</row>
    <row r="69" spans="1:24" ht="12.95" customHeight="1" x14ac:dyDescent="0.2">
      <c r="B69" s="87">
        <f t="shared" si="6"/>
        <v>52</v>
      </c>
      <c r="C69" s="302" t="s">
        <v>223</v>
      </c>
      <c r="D69" s="303"/>
      <c r="E69" s="165"/>
      <c r="F69" s="165"/>
      <c r="G69" s="167"/>
      <c r="H69" s="171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</row>
    <row r="70" spans="1:24" ht="12.95" customHeight="1" thickBot="1" x14ac:dyDescent="0.25">
      <c r="B70" s="87"/>
      <c r="C70" s="128"/>
      <c r="D70" s="129"/>
      <c r="E70" s="25"/>
      <c r="F70" s="130"/>
      <c r="G70" s="77"/>
      <c r="H70" s="138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</row>
    <row r="71" spans="1:24" ht="17.100000000000001" customHeight="1" thickBot="1" x14ac:dyDescent="0.25">
      <c r="A71" s="220"/>
      <c r="B71" s="221"/>
      <c r="C71" s="492" t="s">
        <v>133</v>
      </c>
      <c r="D71" s="493"/>
      <c r="E71" s="222"/>
      <c r="F71" s="222"/>
      <c r="G71" s="223"/>
      <c r="H71" s="224">
        <f>SUM(H9:H70)</f>
        <v>0</v>
      </c>
      <c r="I71" s="220"/>
      <c r="J71" s="59"/>
      <c r="K71" s="59"/>
      <c r="L71" s="59"/>
      <c r="M71" s="59"/>
      <c r="N71" s="59"/>
      <c r="O71" s="59"/>
      <c r="P71" s="59"/>
      <c r="Q71" s="59"/>
      <c r="R71" s="126"/>
      <c r="S71" s="126"/>
      <c r="T71" s="59"/>
    </row>
    <row r="72" spans="1:24" s="220" customFormat="1" ht="12.95" customHeight="1" thickBot="1" x14ac:dyDescent="0.25">
      <c r="B72" s="228"/>
      <c r="C72" s="229"/>
      <c r="D72" s="230"/>
      <c r="E72" s="231"/>
      <c r="F72" s="232"/>
      <c r="G72" s="233"/>
      <c r="H72" s="215"/>
      <c r="P72" s="225"/>
      <c r="R72" s="226"/>
      <c r="U72" s="227"/>
    </row>
    <row r="73" spans="1:24" s="220" customFormat="1" ht="13.5" thickBot="1" x14ac:dyDescent="0.25">
      <c r="B73" s="447" t="s">
        <v>209</v>
      </c>
      <c r="C73" s="448"/>
      <c r="D73" s="448"/>
      <c r="E73" s="448"/>
      <c r="F73" s="448"/>
      <c r="G73" s="448"/>
      <c r="H73" s="449"/>
      <c r="P73" s="225"/>
      <c r="R73" s="226"/>
      <c r="U73" s="227"/>
    </row>
    <row r="74" spans="1:24" s="220" customFormat="1" ht="12.95" customHeight="1" x14ac:dyDescent="0.2">
      <c r="B74" s="228">
        <f>MAX(B9:B70)+1</f>
        <v>53</v>
      </c>
      <c r="C74" s="238" t="s">
        <v>210</v>
      </c>
      <c r="D74" s="236"/>
      <c r="E74" s="231" t="s">
        <v>35</v>
      </c>
      <c r="F74" s="210">
        <v>1</v>
      </c>
      <c r="G74" s="426"/>
      <c r="H74" s="215">
        <f t="shared" ref="H74:H76" si="8">F74*G74</f>
        <v>0</v>
      </c>
      <c r="N74" s="234"/>
      <c r="O74" s="234"/>
      <c r="P74" s="235"/>
      <c r="Q74" s="234"/>
      <c r="R74" s="236"/>
      <c r="S74" s="234"/>
      <c r="T74" s="234"/>
      <c r="U74" s="237"/>
      <c r="V74" s="234"/>
      <c r="W74" s="234"/>
      <c r="X74" s="234"/>
    </row>
    <row r="75" spans="1:24" s="220" customFormat="1" ht="12.95" customHeight="1" x14ac:dyDescent="0.2">
      <c r="B75" s="228">
        <f>B74+1</f>
        <v>54</v>
      </c>
      <c r="C75" s="238" t="s">
        <v>211</v>
      </c>
      <c r="D75" s="240"/>
      <c r="E75" s="241" t="s">
        <v>73</v>
      </c>
      <c r="F75" s="210">
        <v>15</v>
      </c>
      <c r="G75" s="426"/>
      <c r="H75" s="215">
        <f t="shared" si="8"/>
        <v>0</v>
      </c>
      <c r="N75" s="234"/>
      <c r="O75" s="234"/>
      <c r="P75" s="235"/>
      <c r="Q75" s="234"/>
      <c r="R75" s="236"/>
      <c r="S75" s="234"/>
      <c r="T75" s="234"/>
      <c r="U75" s="237"/>
      <c r="V75" s="234"/>
      <c r="W75" s="234"/>
      <c r="X75" s="234"/>
    </row>
    <row r="76" spans="1:24" s="220" customFormat="1" ht="12.95" customHeight="1" x14ac:dyDescent="0.2">
      <c r="B76" s="228">
        <f t="shared" ref="B76:B91" si="9">B75+1</f>
        <v>55</v>
      </c>
      <c r="C76" s="238" t="s">
        <v>212</v>
      </c>
      <c r="D76" s="240"/>
      <c r="E76" s="231" t="s">
        <v>35</v>
      </c>
      <c r="F76" s="210">
        <v>1</v>
      </c>
      <c r="G76" s="426"/>
      <c r="H76" s="215">
        <f t="shared" si="8"/>
        <v>0</v>
      </c>
      <c r="N76" s="234"/>
      <c r="O76" s="234"/>
      <c r="P76" s="235"/>
      <c r="Q76" s="234"/>
      <c r="R76" s="236"/>
      <c r="S76" s="234"/>
      <c r="T76" s="234"/>
      <c r="U76" s="237"/>
      <c r="V76" s="234"/>
      <c r="W76" s="234"/>
      <c r="X76" s="234"/>
    </row>
    <row r="77" spans="1:24" s="220" customFormat="1" ht="12.95" customHeight="1" x14ac:dyDescent="0.2">
      <c r="B77" s="228">
        <f t="shared" si="9"/>
        <v>56</v>
      </c>
      <c r="C77" s="238" t="s">
        <v>213</v>
      </c>
      <c r="D77" s="240"/>
      <c r="E77" s="231" t="s">
        <v>5</v>
      </c>
      <c r="F77" s="210">
        <v>26</v>
      </c>
      <c r="G77" s="426"/>
      <c r="H77" s="215">
        <f>F77*G77</f>
        <v>0</v>
      </c>
      <c r="N77" s="234"/>
      <c r="O77" s="234"/>
      <c r="P77" s="235"/>
      <c r="Q77" s="234"/>
      <c r="R77" s="236"/>
      <c r="S77" s="234"/>
      <c r="T77" s="234"/>
      <c r="U77" s="237"/>
      <c r="V77" s="234"/>
      <c r="W77" s="234"/>
      <c r="X77" s="234"/>
    </row>
    <row r="78" spans="1:24" s="220" customFormat="1" ht="12.95" customHeight="1" x14ac:dyDescent="0.2">
      <c r="B78" s="228">
        <f t="shared" si="9"/>
        <v>57</v>
      </c>
      <c r="C78" s="238" t="s">
        <v>214</v>
      </c>
      <c r="D78" s="240"/>
      <c r="E78" s="231" t="s">
        <v>5</v>
      </c>
      <c r="F78" s="210">
        <v>32</v>
      </c>
      <c r="G78" s="426"/>
      <c r="H78" s="215">
        <f t="shared" ref="H78" si="10">F78*G78</f>
        <v>0</v>
      </c>
      <c r="N78" s="234"/>
      <c r="O78" s="234"/>
      <c r="P78" s="235"/>
      <c r="Q78" s="234"/>
      <c r="R78" s="236"/>
      <c r="S78" s="234"/>
      <c r="T78" s="234"/>
      <c r="U78" s="237"/>
      <c r="V78" s="234"/>
      <c r="W78" s="234"/>
      <c r="X78" s="234"/>
    </row>
    <row r="79" spans="1:24" s="220" customFormat="1" ht="12.95" customHeight="1" x14ac:dyDescent="0.2">
      <c r="B79" s="228">
        <f t="shared" si="9"/>
        <v>58</v>
      </c>
      <c r="C79" s="238" t="s">
        <v>34</v>
      </c>
      <c r="D79" s="240"/>
      <c r="E79" s="242"/>
      <c r="F79" s="243"/>
      <c r="G79" s="244"/>
      <c r="H79" s="245"/>
      <c r="N79" s="234"/>
      <c r="O79" s="234"/>
      <c r="P79" s="235"/>
      <c r="Q79" s="234"/>
      <c r="R79" s="236"/>
      <c r="S79" s="234"/>
      <c r="T79" s="234"/>
      <c r="U79" s="237"/>
      <c r="V79" s="234"/>
      <c r="W79" s="234"/>
      <c r="X79" s="234"/>
    </row>
    <row r="80" spans="1:24" s="220" customFormat="1" ht="12.95" customHeight="1" x14ac:dyDescent="0.2">
      <c r="B80" s="246">
        <f>B79+0.1</f>
        <v>58.1</v>
      </c>
      <c r="C80" s="238" t="s">
        <v>266</v>
      </c>
      <c r="D80" s="240"/>
      <c r="E80" s="231" t="s">
        <v>6</v>
      </c>
      <c r="F80" s="210">
        <v>1</v>
      </c>
      <c r="G80" s="426"/>
      <c r="H80" s="215">
        <f t="shared" ref="H80:H88" si="11">F80*G80</f>
        <v>0</v>
      </c>
      <c r="N80" s="234"/>
      <c r="O80" s="234"/>
      <c r="P80" s="235"/>
      <c r="Q80" s="234"/>
      <c r="R80" s="236"/>
      <c r="S80" s="234"/>
      <c r="T80" s="234"/>
      <c r="U80" s="237"/>
      <c r="V80" s="234"/>
      <c r="W80" s="234"/>
      <c r="X80" s="234"/>
    </row>
    <row r="81" spans="1:24" s="220" customFormat="1" ht="12.95" customHeight="1" x14ac:dyDescent="0.2">
      <c r="B81" s="246">
        <f t="shared" ref="B81:B87" si="12">B80+0.1</f>
        <v>58.2</v>
      </c>
      <c r="C81" s="238" t="s">
        <v>267</v>
      </c>
      <c r="D81" s="240"/>
      <c r="E81" s="231" t="s">
        <v>6</v>
      </c>
      <c r="F81" s="210">
        <v>1</v>
      </c>
      <c r="G81" s="426"/>
      <c r="H81" s="215">
        <f t="shared" si="11"/>
        <v>0</v>
      </c>
      <c r="N81" s="234"/>
      <c r="O81" s="234"/>
      <c r="P81" s="235"/>
      <c r="Q81" s="234"/>
      <c r="R81" s="236"/>
      <c r="S81" s="234"/>
      <c r="T81" s="234"/>
      <c r="U81" s="237"/>
      <c r="V81" s="234"/>
      <c r="W81" s="234"/>
      <c r="X81" s="234"/>
    </row>
    <row r="82" spans="1:24" s="220" customFormat="1" ht="12.95" customHeight="1" x14ac:dyDescent="0.2">
      <c r="B82" s="246">
        <f t="shared" si="12"/>
        <v>58.300000000000004</v>
      </c>
      <c r="C82" s="238" t="s">
        <v>215</v>
      </c>
      <c r="D82" s="240"/>
      <c r="E82" s="231" t="s">
        <v>6</v>
      </c>
      <c r="F82" s="210">
        <v>2</v>
      </c>
      <c r="G82" s="426"/>
      <c r="H82" s="215">
        <f t="shared" si="11"/>
        <v>0</v>
      </c>
      <c r="N82" s="234"/>
      <c r="O82" s="234"/>
      <c r="P82" s="235"/>
      <c r="Q82" s="234"/>
      <c r="R82" s="236"/>
      <c r="S82" s="234"/>
      <c r="T82" s="234"/>
      <c r="U82" s="237"/>
      <c r="V82" s="234"/>
      <c r="W82" s="234"/>
      <c r="X82" s="234"/>
    </row>
    <row r="83" spans="1:24" s="220" customFormat="1" ht="12.95" customHeight="1" x14ac:dyDescent="0.2">
      <c r="B83" s="246">
        <f t="shared" si="12"/>
        <v>58.400000000000006</v>
      </c>
      <c r="C83" s="238" t="s">
        <v>144</v>
      </c>
      <c r="D83" s="240"/>
      <c r="E83" s="231" t="s">
        <v>6</v>
      </c>
      <c r="F83" s="210">
        <v>1</v>
      </c>
      <c r="G83" s="426"/>
      <c r="H83" s="215">
        <f t="shared" si="11"/>
        <v>0</v>
      </c>
      <c r="N83" s="234"/>
      <c r="O83" s="234"/>
      <c r="P83" s="235"/>
      <c r="Q83" s="234"/>
      <c r="R83" s="236"/>
      <c r="S83" s="234"/>
      <c r="T83" s="234"/>
      <c r="U83" s="237"/>
      <c r="V83" s="234"/>
      <c r="W83" s="234"/>
      <c r="X83" s="234"/>
    </row>
    <row r="84" spans="1:24" s="220" customFormat="1" ht="12.95" customHeight="1" x14ac:dyDescent="0.2">
      <c r="B84" s="246">
        <f t="shared" si="12"/>
        <v>58.500000000000007</v>
      </c>
      <c r="C84" s="238" t="s">
        <v>216</v>
      </c>
      <c r="D84" s="240"/>
      <c r="E84" s="231" t="s">
        <v>6</v>
      </c>
      <c r="F84" s="210">
        <v>1</v>
      </c>
      <c r="G84" s="426"/>
      <c r="H84" s="215">
        <f t="shared" si="11"/>
        <v>0</v>
      </c>
      <c r="N84" s="234"/>
      <c r="O84" s="234"/>
      <c r="P84" s="235"/>
      <c r="Q84" s="234"/>
      <c r="R84" s="236"/>
      <c r="S84" s="234"/>
      <c r="T84" s="234"/>
      <c r="U84" s="237"/>
      <c r="V84" s="234"/>
      <c r="W84" s="234"/>
      <c r="X84" s="234"/>
    </row>
    <row r="85" spans="1:24" s="220" customFormat="1" ht="12.95" customHeight="1" x14ac:dyDescent="0.2">
      <c r="B85" s="246">
        <f t="shared" si="12"/>
        <v>58.600000000000009</v>
      </c>
      <c r="C85" s="238" t="s">
        <v>217</v>
      </c>
      <c r="D85" s="240"/>
      <c r="E85" s="231" t="s">
        <v>6</v>
      </c>
      <c r="F85" s="210">
        <v>1</v>
      </c>
      <c r="G85" s="426"/>
      <c r="H85" s="215">
        <f t="shared" si="11"/>
        <v>0</v>
      </c>
      <c r="N85" s="234"/>
      <c r="O85" s="234"/>
      <c r="P85" s="235"/>
      <c r="Q85" s="234"/>
      <c r="R85" s="236"/>
      <c r="S85" s="234"/>
      <c r="T85" s="234"/>
      <c r="U85" s="237"/>
      <c r="V85" s="234"/>
      <c r="W85" s="234"/>
      <c r="X85" s="234"/>
    </row>
    <row r="86" spans="1:24" s="220" customFormat="1" ht="12.95" customHeight="1" x14ac:dyDescent="0.2">
      <c r="B86" s="246">
        <f t="shared" si="12"/>
        <v>58.70000000000001</v>
      </c>
      <c r="C86" s="238" t="s">
        <v>218</v>
      </c>
      <c r="D86" s="240"/>
      <c r="E86" s="231" t="s">
        <v>6</v>
      </c>
      <c r="F86" s="210">
        <v>1</v>
      </c>
      <c r="G86" s="426"/>
      <c r="H86" s="215">
        <f t="shared" si="11"/>
        <v>0</v>
      </c>
      <c r="N86" s="234"/>
      <c r="O86" s="234"/>
      <c r="P86" s="235"/>
      <c r="Q86" s="234"/>
      <c r="R86" s="236"/>
      <c r="S86" s="234"/>
      <c r="T86" s="234"/>
      <c r="U86" s="237"/>
      <c r="V86" s="234"/>
      <c r="W86" s="234"/>
      <c r="X86" s="234"/>
    </row>
    <row r="87" spans="1:24" s="220" customFormat="1" ht="12.95" customHeight="1" x14ac:dyDescent="0.2">
      <c r="B87" s="246">
        <f t="shared" si="12"/>
        <v>58.800000000000011</v>
      </c>
      <c r="C87" s="238" t="s">
        <v>219</v>
      </c>
      <c r="D87" s="240"/>
      <c r="E87" s="231" t="s">
        <v>6</v>
      </c>
      <c r="F87" s="210">
        <v>1</v>
      </c>
      <c r="G87" s="426"/>
      <c r="H87" s="215">
        <f t="shared" si="11"/>
        <v>0</v>
      </c>
      <c r="N87" s="234"/>
      <c r="O87" s="234"/>
      <c r="P87" s="235"/>
      <c r="Q87" s="234"/>
      <c r="R87" s="236"/>
      <c r="S87" s="234"/>
      <c r="T87" s="234"/>
      <c r="U87" s="237"/>
      <c r="V87" s="234"/>
      <c r="W87" s="234"/>
      <c r="X87" s="234"/>
    </row>
    <row r="88" spans="1:24" s="220" customFormat="1" ht="12.95" customHeight="1" x14ac:dyDescent="0.2">
      <c r="B88" s="228">
        <f>B79+1</f>
        <v>59</v>
      </c>
      <c r="C88" s="238" t="s">
        <v>220</v>
      </c>
      <c r="D88" s="240"/>
      <c r="E88" s="231" t="s">
        <v>5</v>
      </c>
      <c r="F88" s="210">
        <v>15</v>
      </c>
      <c r="G88" s="426"/>
      <c r="H88" s="215">
        <f t="shared" si="11"/>
        <v>0</v>
      </c>
      <c r="N88" s="234"/>
      <c r="O88" s="234"/>
      <c r="P88" s="235"/>
      <c r="Q88" s="234"/>
      <c r="R88" s="236"/>
      <c r="S88" s="234"/>
      <c r="T88" s="234"/>
      <c r="U88" s="237"/>
      <c r="V88" s="234"/>
      <c r="W88" s="234"/>
      <c r="X88" s="234"/>
    </row>
    <row r="89" spans="1:24" s="220" customFormat="1" ht="12.95" customHeight="1" x14ac:dyDescent="0.2">
      <c r="A89" s="39" t="s">
        <v>127</v>
      </c>
      <c r="B89" s="228">
        <f t="shared" si="9"/>
        <v>60</v>
      </c>
      <c r="C89" s="238" t="s">
        <v>161</v>
      </c>
      <c r="D89" s="240"/>
      <c r="E89" s="231" t="s">
        <v>6</v>
      </c>
      <c r="F89" s="210">
        <v>1</v>
      </c>
      <c r="G89" s="426"/>
      <c r="H89" s="215">
        <f>F89*G89</f>
        <v>0</v>
      </c>
      <c r="N89" s="234"/>
      <c r="O89" s="234"/>
      <c r="P89" s="235"/>
      <c r="Q89" s="234"/>
      <c r="R89" s="236"/>
      <c r="S89" s="234"/>
      <c r="T89" s="234"/>
      <c r="U89" s="237"/>
      <c r="V89" s="234"/>
      <c r="W89" s="234"/>
      <c r="X89" s="234"/>
    </row>
    <row r="90" spans="1:24" s="220" customFormat="1" ht="12.95" customHeight="1" x14ac:dyDescent="0.2">
      <c r="A90" s="39" t="s">
        <v>126</v>
      </c>
      <c r="B90" s="228">
        <f t="shared" si="9"/>
        <v>61</v>
      </c>
      <c r="C90" s="238" t="s">
        <v>221</v>
      </c>
      <c r="D90" s="240"/>
      <c r="E90" s="231" t="s">
        <v>5</v>
      </c>
      <c r="F90" s="210">
        <v>28</v>
      </c>
      <c r="G90" s="426"/>
      <c r="H90" s="215">
        <f t="shared" ref="H90:H91" si="13">F90*G90</f>
        <v>0</v>
      </c>
      <c r="N90" s="234"/>
      <c r="O90" s="234"/>
      <c r="P90" s="235"/>
      <c r="Q90" s="234"/>
      <c r="R90" s="236"/>
      <c r="S90" s="234"/>
      <c r="T90" s="234"/>
      <c r="U90" s="237"/>
      <c r="V90" s="234"/>
      <c r="W90" s="234"/>
      <c r="X90" s="234"/>
    </row>
    <row r="91" spans="1:24" s="220" customFormat="1" ht="13.5" thickBot="1" x14ac:dyDescent="0.25">
      <c r="B91" s="228">
        <f t="shared" si="9"/>
        <v>62</v>
      </c>
      <c r="C91" s="238" t="s">
        <v>222</v>
      </c>
      <c r="D91" s="240"/>
      <c r="E91" s="231" t="s">
        <v>35</v>
      </c>
      <c r="F91" s="210">
        <v>1</v>
      </c>
      <c r="G91" s="426"/>
      <c r="H91" s="215">
        <f t="shared" si="13"/>
        <v>0</v>
      </c>
      <c r="P91" s="225"/>
      <c r="R91" s="226"/>
      <c r="U91" s="227"/>
    </row>
    <row r="92" spans="1:24" s="220" customFormat="1" ht="17.100000000000001" customHeight="1" thickBot="1" x14ac:dyDescent="0.25">
      <c r="B92" s="221"/>
      <c r="C92" s="492" t="s">
        <v>285</v>
      </c>
      <c r="D92" s="493"/>
      <c r="E92" s="222"/>
      <c r="F92" s="222"/>
      <c r="G92" s="223"/>
      <c r="H92" s="224">
        <f>SUM(H74:H91)</f>
        <v>0</v>
      </c>
      <c r="P92" s="225"/>
      <c r="R92" s="226"/>
      <c r="U92" s="227"/>
    </row>
    <row r="93" spans="1:24" s="220" customFormat="1" ht="12.75" customHeight="1" thickBot="1" x14ac:dyDescent="0.25">
      <c r="A93" s="39"/>
      <c r="B93" s="217"/>
      <c r="C93" s="128"/>
      <c r="D93" s="129"/>
      <c r="E93" s="25"/>
      <c r="F93" s="130"/>
      <c r="G93" s="218"/>
      <c r="H93" s="219"/>
      <c r="I93" s="39"/>
      <c r="P93" s="225"/>
      <c r="R93" s="226"/>
      <c r="U93" s="227"/>
    </row>
    <row r="94" spans="1:24" ht="17.100000000000001" customHeight="1" thickBot="1" x14ac:dyDescent="0.25">
      <c r="B94" s="100"/>
      <c r="C94" s="466" t="s">
        <v>283</v>
      </c>
      <c r="D94" s="467"/>
      <c r="E94" s="101"/>
      <c r="F94" s="102"/>
      <c r="G94" s="108"/>
      <c r="H94" s="136">
        <f>H92+H71</f>
        <v>0</v>
      </c>
      <c r="J94" s="59"/>
      <c r="K94" s="59"/>
      <c r="L94" s="59"/>
      <c r="M94" s="59"/>
      <c r="N94" s="59"/>
      <c r="O94" s="59"/>
      <c r="P94" s="59"/>
      <c r="Q94" s="59"/>
      <c r="R94" s="126"/>
      <c r="S94" s="126"/>
      <c r="T94" s="59"/>
    </row>
    <row r="95" spans="1:24" x14ac:dyDescent="0.2">
      <c r="B95" s="123">
        <f>MAX(B9:B94)+1</f>
        <v>63</v>
      </c>
      <c r="C95" s="468" t="s">
        <v>275</v>
      </c>
      <c r="D95" s="469"/>
      <c r="E95" s="103" t="s">
        <v>35</v>
      </c>
      <c r="F95" s="247">
        <v>1</v>
      </c>
      <c r="G95" s="424"/>
      <c r="H95" s="137">
        <f>SUM(F95*G95)</f>
        <v>0</v>
      </c>
      <c r="I95" s="104">
        <v>0.1</v>
      </c>
      <c r="J95" s="59"/>
      <c r="K95" s="59"/>
      <c r="L95" s="59"/>
      <c r="M95" s="126"/>
      <c r="N95" s="59"/>
      <c r="O95" s="59"/>
      <c r="P95" s="59"/>
    </row>
    <row r="96" spans="1:24" ht="12.75" customHeight="1" x14ac:dyDescent="0.2">
      <c r="B96" s="87">
        <f>MAX(B10:B95)+1</f>
        <v>64</v>
      </c>
      <c r="C96" s="287" t="s">
        <v>276</v>
      </c>
      <c r="D96" s="288"/>
      <c r="E96" s="78" t="s">
        <v>35</v>
      </c>
      <c r="F96" s="248">
        <v>1</v>
      </c>
      <c r="G96" s="425"/>
      <c r="H96" s="137">
        <f>SUM(F96*G96)</f>
        <v>0</v>
      </c>
      <c r="I96" s="106">
        <v>0.01</v>
      </c>
    </row>
    <row r="97" spans="1:16" ht="12.75" customHeight="1" thickBot="1" x14ac:dyDescent="0.25">
      <c r="B97" s="87">
        <f>MAX(B11:B96)+1</f>
        <v>65</v>
      </c>
      <c r="C97" s="450" t="s">
        <v>78</v>
      </c>
      <c r="D97" s="451"/>
      <c r="E97" s="78"/>
      <c r="F97" s="201">
        <v>0.1</v>
      </c>
      <c r="G97" s="105"/>
      <c r="H97" s="138">
        <f>SUM(H94*F97)</f>
        <v>0</v>
      </c>
      <c r="I97" s="107"/>
    </row>
    <row r="98" spans="1:16" ht="33" customHeight="1" thickBot="1" x14ac:dyDescent="0.25">
      <c r="B98" s="100"/>
      <c r="C98" s="494" t="s">
        <v>286</v>
      </c>
      <c r="D98" s="495"/>
      <c r="E98" s="101"/>
      <c r="F98" s="102"/>
      <c r="G98" s="108"/>
      <c r="H98" s="136">
        <f>SUM(H94:H97)</f>
        <v>0</v>
      </c>
    </row>
    <row r="99" spans="1:16" ht="12.75" hidden="1" customHeight="1" x14ac:dyDescent="0.2">
      <c r="C99" s="39" t="s">
        <v>134</v>
      </c>
    </row>
    <row r="100" spans="1:16" ht="12.75" hidden="1" customHeight="1" x14ac:dyDescent="0.2">
      <c r="B100" s="109"/>
    </row>
    <row r="101" spans="1:16" ht="12.75" hidden="1" customHeight="1" x14ac:dyDescent="0.2">
      <c r="B101" s="109" t="s">
        <v>4</v>
      </c>
      <c r="C101" s="39" t="s">
        <v>7</v>
      </c>
    </row>
    <row r="102" spans="1:16" ht="12.75" hidden="1" customHeight="1" x14ac:dyDescent="0.25">
      <c r="A102" s="203" t="s">
        <v>158</v>
      </c>
      <c r="O102" s="89"/>
      <c r="P102" s="89"/>
    </row>
    <row r="103" spans="1:16" ht="12.75" hidden="1" customHeight="1" x14ac:dyDescent="0.25">
      <c r="B103" s="127"/>
      <c r="D103" s="40" t="s">
        <v>92</v>
      </c>
      <c r="E103" s="132">
        <v>477</v>
      </c>
      <c r="F103" s="133" t="s">
        <v>120</v>
      </c>
      <c r="G103" s="134">
        <v>124</v>
      </c>
      <c r="K103" s="89"/>
    </row>
    <row r="104" spans="1:16" ht="12.75" hidden="1" customHeight="1" x14ac:dyDescent="0.25">
      <c r="A104" s="39" t="s">
        <v>38</v>
      </c>
      <c r="B104" s="40"/>
      <c r="D104" s="40" t="s">
        <v>15</v>
      </c>
      <c r="E104" s="111">
        <v>44.3</v>
      </c>
      <c r="F104" s="42" t="s">
        <v>16</v>
      </c>
      <c r="G104" s="43" t="s">
        <v>17</v>
      </c>
      <c r="K104" s="89"/>
    </row>
    <row r="105" spans="1:16" ht="12.75" hidden="1" customHeight="1" x14ac:dyDescent="0.25">
      <c r="A105" s="115">
        <v>2</v>
      </c>
      <c r="B105" s="127"/>
      <c r="C105" s="127"/>
      <c r="D105" s="40" t="s">
        <v>18</v>
      </c>
      <c r="E105" s="112">
        <v>19.43</v>
      </c>
      <c r="F105" s="42" t="s">
        <v>16</v>
      </c>
      <c r="G105" s="43">
        <f>(E104-E105)+E112</f>
        <v>26.869999999999997</v>
      </c>
      <c r="H105" s="39"/>
      <c r="K105" s="89"/>
    </row>
    <row r="106" spans="1:16" ht="12.75" hidden="1" customHeight="1" x14ac:dyDescent="0.25">
      <c r="A106" s="42"/>
      <c r="B106" s="127"/>
      <c r="C106" s="127"/>
      <c r="D106" s="40" t="s">
        <v>19</v>
      </c>
      <c r="E106" s="115">
        <v>8</v>
      </c>
      <c r="F106" s="39" t="s">
        <v>20</v>
      </c>
      <c r="K106" s="89"/>
    </row>
    <row r="107" spans="1:16" ht="12.75" hidden="1" customHeight="1" x14ac:dyDescent="0.2">
      <c r="A107" s="116" t="s">
        <v>39</v>
      </c>
      <c r="B107" s="127"/>
      <c r="C107" s="127"/>
      <c r="D107" s="40" t="s">
        <v>21</v>
      </c>
      <c r="E107" s="115">
        <v>10</v>
      </c>
      <c r="F107" s="39" t="s">
        <v>20</v>
      </c>
    </row>
    <row r="108" spans="1:16" ht="12.75" hidden="1" customHeight="1" x14ac:dyDescent="0.2">
      <c r="A108" s="115" t="s">
        <v>41</v>
      </c>
      <c r="B108" s="127"/>
      <c r="C108" s="127"/>
      <c r="D108" s="40" t="s">
        <v>22</v>
      </c>
      <c r="E108" s="115">
        <v>5</v>
      </c>
      <c r="F108" s="42" t="s">
        <v>20</v>
      </c>
    </row>
    <row r="109" spans="1:16" ht="12.75" hidden="1" customHeight="1" x14ac:dyDescent="0.2">
      <c r="A109" s="42"/>
      <c r="B109" s="127"/>
      <c r="C109" s="127"/>
      <c r="D109" s="40" t="s">
        <v>23</v>
      </c>
      <c r="E109" s="44">
        <f>ROUNDUP(E106^2*3.14/4,0)</f>
        <v>51</v>
      </c>
      <c r="F109" s="42" t="s">
        <v>24</v>
      </c>
    </row>
    <row r="110" spans="1:16" ht="12.75" hidden="1" customHeight="1" x14ac:dyDescent="0.2">
      <c r="A110" s="42" t="s">
        <v>68</v>
      </c>
      <c r="B110" s="39"/>
      <c r="D110" s="40" t="s">
        <v>25</v>
      </c>
      <c r="E110" s="44">
        <f>ROUNDUP(2*3.14*(E106/2)*((E106/2)+((E104-E105)+E112)),0)</f>
        <v>776</v>
      </c>
      <c r="F110" s="42" t="s">
        <v>24</v>
      </c>
    </row>
    <row r="111" spans="1:16" ht="12.75" hidden="1" customHeight="1" x14ac:dyDescent="0.25">
      <c r="A111" s="115" t="s">
        <v>41</v>
      </c>
      <c r="D111" s="40" t="s">
        <v>26</v>
      </c>
      <c r="E111" s="44">
        <f>E110-E109*2</f>
        <v>674</v>
      </c>
      <c r="F111" s="42" t="s">
        <v>24</v>
      </c>
      <c r="L111" s="89"/>
      <c r="M111" s="89"/>
      <c r="N111" s="59"/>
      <c r="O111" s="59"/>
      <c r="P111" s="59"/>
    </row>
    <row r="112" spans="1:16" ht="12.75" hidden="1" customHeight="1" x14ac:dyDescent="0.2">
      <c r="A112" s="42"/>
      <c r="B112" s="39"/>
      <c r="D112" s="40" t="s">
        <v>152</v>
      </c>
      <c r="E112" s="111">
        <v>2</v>
      </c>
      <c r="F112" s="42" t="s">
        <v>20</v>
      </c>
      <c r="P112" s="59"/>
    </row>
    <row r="113" spans="1:12" ht="12.75" hidden="1" customHeight="1" x14ac:dyDescent="0.2">
      <c r="A113" s="42" t="s">
        <v>71</v>
      </c>
      <c r="D113" s="40" t="s">
        <v>42</v>
      </c>
      <c r="E113" s="111">
        <v>0</v>
      </c>
      <c r="F113" s="42" t="s">
        <v>20</v>
      </c>
    </row>
    <row r="114" spans="1:12" ht="12.75" hidden="1" customHeight="1" x14ac:dyDescent="0.2">
      <c r="A114" s="115" t="s">
        <v>40</v>
      </c>
      <c r="D114" s="40" t="s">
        <v>43</v>
      </c>
      <c r="E114" s="111">
        <v>0</v>
      </c>
      <c r="F114" s="42" t="s">
        <v>20</v>
      </c>
    </row>
    <row r="115" spans="1:12" ht="12.75" hidden="1" customHeight="1" x14ac:dyDescent="0.2">
      <c r="A115" s="42"/>
    </row>
    <row r="116" spans="1:12" ht="12.75" hidden="1" customHeight="1" x14ac:dyDescent="0.2">
      <c r="A116" s="42" t="s">
        <v>91</v>
      </c>
    </row>
    <row r="117" spans="1:12" ht="12.75" hidden="1" customHeight="1" x14ac:dyDescent="0.25">
      <c r="A117" s="115" t="s">
        <v>40</v>
      </c>
      <c r="C117" s="89"/>
      <c r="D117" s="89"/>
      <c r="E117" s="113" t="s">
        <v>93</v>
      </c>
      <c r="F117" s="113" t="s">
        <v>94</v>
      </c>
      <c r="G117" s="114"/>
      <c r="H117" s="39"/>
      <c r="I117" s="59" t="s">
        <v>101</v>
      </c>
      <c r="J117" s="59" t="s">
        <v>95</v>
      </c>
      <c r="K117" s="59" t="s">
        <v>96</v>
      </c>
      <c r="L117" s="59" t="s">
        <v>102</v>
      </c>
    </row>
    <row r="118" spans="1:12" ht="12.75" hidden="1" customHeight="1" x14ac:dyDescent="0.25">
      <c r="C118" s="205" t="s">
        <v>97</v>
      </c>
      <c r="D118" s="113" t="s">
        <v>98</v>
      </c>
      <c r="E118" s="113" t="s">
        <v>99</v>
      </c>
      <c r="F118" s="113" t="s">
        <v>99</v>
      </c>
      <c r="G118" s="89"/>
      <c r="H118" s="39"/>
      <c r="I118" s="45">
        <v>2</v>
      </c>
      <c r="J118" s="113"/>
      <c r="K118" s="113"/>
      <c r="L118" s="111">
        <v>2.0470000000000002</v>
      </c>
    </row>
    <row r="119" spans="1:12" ht="12.75" hidden="1" customHeight="1" x14ac:dyDescent="0.25">
      <c r="C119" s="40">
        <f>VLOOKUP(J10,I120:K122,2)</f>
        <v>5.59</v>
      </c>
      <c r="D119" s="46">
        <f>E103</f>
        <v>477</v>
      </c>
      <c r="E119" s="41">
        <f>(D119/448.83)/((C119/12)^2*3.14/4)</f>
        <v>6.2388669067489646</v>
      </c>
      <c r="F119" s="41">
        <f>((D119/448.83)/((C119/12)^2*3.14/4))*1.5</f>
        <v>9.3583003601234473</v>
      </c>
      <c r="G119" s="89"/>
      <c r="H119" s="39"/>
      <c r="I119" s="45">
        <v>4</v>
      </c>
      <c r="J119" s="111">
        <v>3.89</v>
      </c>
      <c r="K119" s="111">
        <v>4.2699999999999996</v>
      </c>
    </row>
    <row r="120" spans="1:12" ht="12.75" hidden="1" customHeight="1" x14ac:dyDescent="0.25">
      <c r="A120" s="39" t="s">
        <v>40</v>
      </c>
      <c r="C120" s="89"/>
      <c r="D120" s="89"/>
      <c r="E120" s="177" t="str">
        <f xml:space="preserve"> IF(E119&gt;=8,"Upsize","Keep Size")</f>
        <v>Keep Size</v>
      </c>
      <c r="F120" s="89"/>
      <c r="G120" s="89"/>
      <c r="H120" s="39"/>
      <c r="I120" s="45">
        <v>6</v>
      </c>
      <c r="J120" s="111">
        <v>5.59</v>
      </c>
      <c r="K120" s="111">
        <v>6.13</v>
      </c>
    </row>
    <row r="121" spans="1:12" ht="12.75" hidden="1" customHeight="1" x14ac:dyDescent="0.2">
      <c r="A121" s="39" t="s">
        <v>41</v>
      </c>
      <c r="E121" s="39"/>
      <c r="F121" s="39"/>
      <c r="G121" s="39"/>
      <c r="H121" s="39"/>
      <c r="I121" s="45">
        <v>8</v>
      </c>
      <c r="J121" s="111">
        <v>7.34</v>
      </c>
      <c r="K121" s="111">
        <v>8.0399999999999991</v>
      </c>
    </row>
    <row r="122" spans="1:12" ht="12.75" hidden="1" customHeight="1" x14ac:dyDescent="0.2">
      <c r="E122" s="45" t="s">
        <v>160</v>
      </c>
      <c r="F122" s="39"/>
      <c r="G122" s="39"/>
      <c r="H122" s="39"/>
    </row>
    <row r="123" spans="1:12" ht="12.75" hidden="1" customHeight="1" x14ac:dyDescent="0.2">
      <c r="E123" s="39"/>
      <c r="F123" s="39"/>
      <c r="G123" s="39"/>
      <c r="H123" s="39"/>
    </row>
    <row r="124" spans="1:12" x14ac:dyDescent="0.2">
      <c r="G124" s="59"/>
      <c r="H124" s="39"/>
    </row>
    <row r="125" spans="1:12" ht="12.75" customHeight="1" x14ac:dyDescent="0.2"/>
    <row r="126" spans="1:12" ht="12.75" customHeight="1" x14ac:dyDescent="0.2"/>
    <row r="127" spans="1:12" ht="12.75" customHeight="1" x14ac:dyDescent="0.2"/>
  </sheetData>
  <sheetProtection algorithmName="SHA-512" hashValue="nlWxnjG3gEDTvbdXrybRjxwVbbHcDo8vVPQ38OMf5KeLsr7hH+my3/wpfFt4+JGvssM8LG4DmFDg3GCD/L27YA==" saltValue="JzaNFaQrM58TiZDbtVMizw==" spinCount="100000" sheet="1" objects="1" scenarios="1" selectLockedCells="1"/>
  <mergeCells count="39">
    <mergeCell ref="B1:C1"/>
    <mergeCell ref="B2:C2"/>
    <mergeCell ref="B3:E3"/>
    <mergeCell ref="B4:C4"/>
    <mergeCell ref="B5:H5"/>
    <mergeCell ref="C29:D29"/>
    <mergeCell ref="C20:D20"/>
    <mergeCell ref="C16:D16"/>
    <mergeCell ref="C98:D98"/>
    <mergeCell ref="C97:D97"/>
    <mergeCell ref="C95:D95"/>
    <mergeCell ref="C94:D94"/>
    <mergeCell ref="C43:D43"/>
    <mergeCell ref="C45:D45"/>
    <mergeCell ref="C47:D47"/>
    <mergeCell ref="C46:D46"/>
    <mergeCell ref="C44:D44"/>
    <mergeCell ref="C17:D17"/>
    <mergeCell ref="C19:D19"/>
    <mergeCell ref="C71:D71"/>
    <mergeCell ref="C13:D13"/>
    <mergeCell ref="C12:D12"/>
    <mergeCell ref="C28:D28"/>
    <mergeCell ref="C25:D25"/>
    <mergeCell ref="C14:D14"/>
    <mergeCell ref="B73:H73"/>
    <mergeCell ref="C92:D92"/>
    <mergeCell ref="C30:D30"/>
    <mergeCell ref="C40:D40"/>
    <mergeCell ref="C39:D39"/>
    <mergeCell ref="C33:D33"/>
    <mergeCell ref="C31:D31"/>
    <mergeCell ref="C32:D32"/>
    <mergeCell ref="C41:D41"/>
    <mergeCell ref="B7:H7"/>
    <mergeCell ref="C11:D11"/>
    <mergeCell ref="C8:D8"/>
    <mergeCell ref="C10:D10"/>
    <mergeCell ref="C9:D9"/>
  </mergeCells>
  <dataValidations disablePrompts="1" count="5">
    <dataValidation type="list" allowBlank="1" showInputMessage="1" showErrorMessage="1" sqref="J40 J32" xr:uid="{00000000-0002-0000-0500-000002000000}">
      <formula1>$R$25:$R$29</formula1>
    </dataValidation>
    <dataValidation type="list" allowBlank="1" showInputMessage="1" showErrorMessage="1" sqref="J10" xr:uid="{D31A6396-E123-4960-B22E-C04453F8DAB0}">
      <formula1>$I$118:$I$121</formula1>
    </dataValidation>
    <dataValidation type="list" allowBlank="1" showInputMessage="1" showErrorMessage="1" sqref="A108 A117 A114 A111" xr:uid="{00000000-0002-0000-0500-000003000000}">
      <formula1>$A$120:$A$121</formula1>
    </dataValidation>
    <dataValidation type="list" allowBlank="1" showInputMessage="1" showErrorMessage="1" sqref="J11" xr:uid="{00000000-0002-0000-0500-000000000000}">
      <formula1>$P$13:$P$18</formula1>
    </dataValidation>
    <dataValidation type="list" allowBlank="1" showInputMessage="1" showErrorMessage="1" sqref="J12" xr:uid="{00000000-0002-0000-0500-000001000000}">
      <formula1>$P$12:$P$18</formula1>
    </dataValidation>
  </dataValidations>
  <printOptions horizontalCentered="1"/>
  <pageMargins left="0.7" right="0.7" top="0.75" bottom="0.75" header="0.3" footer="0.3"/>
  <pageSetup scale="89" fitToHeight="0" orientation="portrait" r:id="rId1"/>
  <headerFooter alignWithMargins="0">
    <oddFooter xml:space="preserve">&amp;L&amp;"Times New Roman,Regular"&amp;8Bidder:_________________________
Signature:_______________________&amp;C&amp;"Times New Roman,Regular"&amp;10Page &amp;P of &amp;N&amp;R&amp;"Times New Roman,Regular"&amp;8Appendix K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125960-5533-4960-8801-108db8a872fc" ContentTypeId="0x01" PreviousValue="false"/>
</file>

<file path=customXml/itemProps1.xml><?xml version="1.0" encoding="utf-8"?>
<ds:datastoreItem xmlns:ds="http://schemas.openxmlformats.org/officeDocument/2006/customXml" ds:itemID="{8A32CAEB-6657-4E70-BF89-D0B053CAD4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8B0592-71CE-4F60-9A33-C067381BAE79}">
  <ds:schemaRefs>
    <ds:schemaRef ds:uri="http://schemas.microsoft.com/sharepoint/v3"/>
    <ds:schemaRef ds:uri="http://purl.org/dc/terms/"/>
    <ds:schemaRef ds:uri="http://schemas.openxmlformats.org/package/2006/metadata/core-properties"/>
    <ds:schemaRef ds:uri="8861d36f-8a4d-4dc4-930b-ab7e5ff04f0f"/>
    <ds:schemaRef ds:uri="http://schemas.microsoft.com/office/2006/documentManagement/types"/>
    <ds:schemaRef ds:uri="c1a126f7-a2e4-427d-954e-b9e97db1816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094B54-5560-44EC-A82A-0BD42611F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139508-68A7-4593-A782-9F99D9107C8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OVERALL ESTIMATE</vt:lpstr>
      <vt:lpstr>New 301 Ind Park 344</vt:lpstr>
      <vt:lpstr>Lakewood Meadows 388</vt:lpstr>
      <vt:lpstr>Mote Ranch 3 398</vt:lpstr>
      <vt:lpstr>41A 454</vt:lpstr>
      <vt:lpstr>Arnold Palmer Green 1 689</vt:lpstr>
      <vt:lpstr>'41A 454'!Print_Area</vt:lpstr>
      <vt:lpstr>'Arnold Palmer Green 1 689'!Print_Area</vt:lpstr>
      <vt:lpstr>'Lakewood Meadows 388'!Print_Area</vt:lpstr>
      <vt:lpstr>'Mote Ranch 3 398'!Print_Area</vt:lpstr>
      <vt:lpstr>'New 301 Ind Park 344'!Print_Area</vt:lpstr>
      <vt:lpstr>'OVERALL ESTIMATE'!Print_Area</vt:lpstr>
      <vt:lpstr>'41A 454'!Print_Titles</vt:lpstr>
      <vt:lpstr>'Arnold Palmer Green 1 689'!Print_Titles</vt:lpstr>
      <vt:lpstr>'Lakewood Meadows 388'!Print_Titles</vt:lpstr>
      <vt:lpstr>'Mote Ranch 3 398'!Print_Titles</vt:lpstr>
      <vt:lpstr>'New 301 Ind Park 344'!Print_Titles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Sherri Adamsmeier</cp:lastModifiedBy>
  <cp:lastPrinted>2021-01-20T15:01:12Z</cp:lastPrinted>
  <dcterms:created xsi:type="dcterms:W3CDTF">2002-11-01T20:07:47Z</dcterms:created>
  <dcterms:modified xsi:type="dcterms:W3CDTF">2021-01-20T20:07:35Z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