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Bids, Proposals, Quotes\2026\26-TA006402SAM IFBC 27th ST E 6096560\Solicitation Documents\Solicitation Drafts &amp; Revisions\"/>
    </mc:Choice>
  </mc:AlternateContent>
  <xr:revisionPtr revIDLastSave="0" documentId="13_ncr:1_{797837F6-405F-4ECA-9D4C-EEBC86EF69F4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Tables" sheetId="15" state="hidden" r:id="rId1"/>
    <sheet name="TOTAL BID SUMMARY" sheetId="19" r:id="rId2"/>
    <sheet name="6096560" sheetId="11" r:id="rId3"/>
    <sheet name="ITS AND SIGNALS" sheetId="10" r:id="rId4"/>
    <sheet name="6096570 &amp; 6096580" sheetId="16" r:id="rId5"/>
    <sheet name="6096560 (Backup)" sheetId="18" state="hidden" r:id="rId6"/>
    <sheet name="Manatee Avg" sheetId="17" state="hidden" r:id="rId7"/>
    <sheet name="Roadway_total" sheetId="9" state="hidden" r:id="rId8"/>
  </sheets>
  <definedNames>
    <definedName name="_xlnm.Print_Area" localSheetId="2">'6096560'!$A$1:$F$141</definedName>
    <definedName name="_xlnm.Print_Area" localSheetId="5">'6096560 (Backup)'!$A$1:$G$135</definedName>
    <definedName name="_xlnm.Print_Area" localSheetId="4">'6096570 &amp; 6096580'!$A$1:$G$32</definedName>
    <definedName name="_xlnm.Print_Area" localSheetId="3">'ITS AND SIGNALS'!$A$1:$F$113</definedName>
    <definedName name="_xlnm.Print_Area" localSheetId="6">'Manatee Avg'!$A$1:$H$181</definedName>
    <definedName name="_xlnm.Print_Area" localSheetId="7">Roadway_total!$A$1:$C$68</definedName>
    <definedName name="_xlnm.Print_Area" localSheetId="0">Tables!$A$1:$B$100</definedName>
    <definedName name="_xlnm.Print_Titles" localSheetId="2">'6096560'!$1:$6</definedName>
    <definedName name="_xlnm.Print_Titles" localSheetId="3">'ITS AND SIGNALS'!$1:$6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6" l="1"/>
  <c r="G25" i="16"/>
  <c r="G26" i="16"/>
  <c r="G27" i="16"/>
  <c r="G28" i="16"/>
  <c r="G23" i="16"/>
  <c r="G11" i="16"/>
  <c r="G12" i="16"/>
  <c r="G13" i="16"/>
  <c r="G14" i="16"/>
  <c r="G15" i="16"/>
  <c r="G16" i="16"/>
  <c r="G17" i="16"/>
  <c r="G18" i="16"/>
  <c r="G10" i="16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63" i="10"/>
  <c r="F128" i="11"/>
  <c r="F129" i="11"/>
  <c r="F130" i="11"/>
  <c r="F131" i="11"/>
  <c r="F132" i="11"/>
  <c r="F133" i="11"/>
  <c r="F134" i="11"/>
  <c r="F135" i="11"/>
  <c r="F136" i="11"/>
  <c r="F137" i="11"/>
  <c r="F138" i="11"/>
  <c r="F127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78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46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7" i="11"/>
  <c r="D7" i="10"/>
  <c r="F7" i="10"/>
  <c r="D8" i="10"/>
  <c r="F8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D27" i="10"/>
  <c r="F27" i="10"/>
  <c r="D28" i="10"/>
  <c r="F28" i="10"/>
  <c r="D29" i="10"/>
  <c r="F29" i="10"/>
  <c r="D30" i="10"/>
  <c r="F30" i="10"/>
  <c r="D31" i="10"/>
  <c r="F31" i="10"/>
  <c r="D32" i="10"/>
  <c r="F32" i="10"/>
  <c r="D33" i="10"/>
  <c r="F33" i="10"/>
  <c r="A34" i="10"/>
  <c r="B34" i="10"/>
  <c r="D34" i="10"/>
  <c r="A35" i="10"/>
  <c r="B35" i="10"/>
  <c r="D35" i="10"/>
  <c r="A36" i="10"/>
  <c r="B36" i="10"/>
  <c r="D36" i="10"/>
  <c r="A37" i="10"/>
  <c r="B37" i="10"/>
  <c r="D37" i="10"/>
  <c r="A38" i="10"/>
  <c r="B38" i="10"/>
  <c r="D38" i="10"/>
  <c r="D39" i="10"/>
  <c r="F39" i="10"/>
  <c r="D40" i="10"/>
  <c r="F40" i="10"/>
  <c r="D42" i="10"/>
  <c r="F42" i="10"/>
  <c r="D43" i="10"/>
  <c r="F43" i="10"/>
  <c r="D44" i="10"/>
  <c r="F44" i="10"/>
  <c r="D45" i="10"/>
  <c r="F45" i="10"/>
  <c r="D46" i="10"/>
  <c r="F46" i="10"/>
  <c r="D47" i="10"/>
  <c r="F47" i="10"/>
  <c r="D48" i="10"/>
  <c r="F48" i="10"/>
  <c r="D49" i="10"/>
  <c r="F49" i="10"/>
  <c r="D50" i="10"/>
  <c r="F50" i="10"/>
  <c r="D51" i="10"/>
  <c r="F51" i="10"/>
  <c r="D52" i="10"/>
  <c r="F52" i="10"/>
  <c r="D53" i="10"/>
  <c r="F53" i="10"/>
  <c r="D54" i="10"/>
  <c r="F54" i="10"/>
  <c r="D55" i="10"/>
  <c r="F55" i="10"/>
  <c r="D56" i="10"/>
  <c r="F56" i="10"/>
  <c r="D57" i="10"/>
  <c r="F57" i="10"/>
  <c r="D58" i="10"/>
  <c r="F58" i="10"/>
  <c r="D59" i="10"/>
  <c r="F59" i="10"/>
  <c r="D60" i="10"/>
  <c r="F60" i="10"/>
  <c r="F61" i="10"/>
  <c r="B11" i="16" l="1"/>
  <c r="B12" i="16" s="1"/>
  <c r="B13" i="16" s="1"/>
  <c r="B14" i="16" s="1"/>
  <c r="B15" i="16" s="1"/>
  <c r="B16" i="16" s="1"/>
  <c r="B17" i="16" s="1"/>
  <c r="B18" i="16" s="1"/>
  <c r="B23" i="16" s="1"/>
  <c r="B132" i="11" l="1"/>
  <c r="B133" i="11"/>
  <c r="B134" i="11"/>
  <c r="B135" i="11"/>
  <c r="B136" i="11"/>
  <c r="A136" i="11"/>
  <c r="A133" i="11"/>
  <c r="A134" i="11"/>
  <c r="A135" i="11"/>
  <c r="A132" i="11"/>
  <c r="B76" i="11"/>
  <c r="A76" i="11"/>
  <c r="A72" i="11"/>
  <c r="B72" i="11"/>
  <c r="A71" i="11"/>
  <c r="B71" i="11"/>
  <c r="C67" i="11"/>
  <c r="C68" i="11"/>
  <c r="C66" i="11"/>
  <c r="B66" i="11"/>
  <c r="B67" i="11"/>
  <c r="B68" i="11"/>
  <c r="B69" i="11"/>
  <c r="B70" i="11"/>
  <c r="B73" i="11"/>
  <c r="B74" i="11"/>
  <c r="B75" i="11"/>
  <c r="A67" i="11"/>
  <c r="A68" i="11"/>
  <c r="A69" i="11"/>
  <c r="A70" i="11"/>
  <c r="A73" i="11"/>
  <c r="A74" i="11"/>
  <c r="A75" i="11"/>
  <c r="A66" i="11"/>
  <c r="B17" i="15"/>
  <c r="O127" i="18" l="1"/>
  <c r="O126" i="18"/>
  <c r="O125" i="18"/>
  <c r="O124" i="18"/>
  <c r="D123" i="18"/>
  <c r="O123" i="18" s="1"/>
  <c r="O122" i="18"/>
  <c r="D121" i="18"/>
  <c r="O121" i="18" s="1"/>
  <c r="D120" i="18"/>
  <c r="O120" i="18" s="1"/>
  <c r="O119" i="18"/>
  <c r="D119" i="18"/>
  <c r="O116" i="18"/>
  <c r="O115" i="18"/>
  <c r="O108" i="18"/>
  <c r="O104" i="18"/>
  <c r="G104" i="18"/>
  <c r="O94" i="18"/>
  <c r="D94" i="18"/>
  <c r="O93" i="18"/>
  <c r="O91" i="18"/>
  <c r="O77" i="18"/>
  <c r="O75" i="18"/>
  <c r="O74" i="18"/>
  <c r="O73" i="18"/>
  <c r="O70" i="18"/>
  <c r="O69" i="18"/>
  <c r="O68" i="18"/>
  <c r="O67" i="18"/>
  <c r="O66" i="18"/>
  <c r="O65" i="18"/>
  <c r="J64" i="18"/>
  <c r="I64" i="18"/>
  <c r="J63" i="18"/>
  <c r="I63" i="18"/>
  <c r="E63" i="18"/>
  <c r="O62" i="18"/>
  <c r="J62" i="18"/>
  <c r="I62" i="18"/>
  <c r="E62" i="18"/>
  <c r="J61" i="18"/>
  <c r="I61" i="18"/>
  <c r="E61" i="18"/>
  <c r="D61" i="18"/>
  <c r="O61" i="18" s="1"/>
  <c r="O60" i="18"/>
  <c r="J60" i="18"/>
  <c r="I60" i="18"/>
  <c r="E60" i="18"/>
  <c r="O59" i="18"/>
  <c r="J59" i="18"/>
  <c r="I59" i="18"/>
  <c r="E59" i="18"/>
  <c r="O58" i="18"/>
  <c r="J58" i="18"/>
  <c r="I58" i="18"/>
  <c r="E58" i="18"/>
  <c r="J57" i="18"/>
  <c r="I57" i="18"/>
  <c r="E57" i="18"/>
  <c r="O56" i="18"/>
  <c r="J56" i="18"/>
  <c r="I56" i="18"/>
  <c r="E56" i="18"/>
  <c r="D56" i="18"/>
  <c r="O55" i="18"/>
  <c r="J55" i="18"/>
  <c r="I55" i="18"/>
  <c r="E55" i="18"/>
  <c r="D55" i="18"/>
  <c r="O54" i="18"/>
  <c r="J54" i="18"/>
  <c r="I54" i="18"/>
  <c r="E54" i="18"/>
  <c r="O53" i="18"/>
  <c r="J53" i="18"/>
  <c r="I53" i="18"/>
  <c r="E53" i="18"/>
  <c r="O52" i="18"/>
  <c r="J52" i="18"/>
  <c r="I52" i="18"/>
  <c r="E52" i="18"/>
  <c r="O51" i="18"/>
  <c r="J51" i="18"/>
  <c r="I51" i="18"/>
  <c r="E51" i="18"/>
  <c r="J50" i="18"/>
  <c r="I50" i="18"/>
  <c r="E50" i="18"/>
  <c r="O49" i="18"/>
  <c r="J49" i="18"/>
  <c r="I49" i="18"/>
  <c r="E49" i="18"/>
  <c r="O48" i="18"/>
  <c r="J48" i="18"/>
  <c r="I48" i="18"/>
  <c r="E48" i="18"/>
  <c r="O47" i="18"/>
  <c r="J47" i="18"/>
  <c r="I47" i="18"/>
  <c r="E47" i="18"/>
  <c r="O46" i="18"/>
  <c r="J46" i="18"/>
  <c r="I46" i="18"/>
  <c r="E46" i="18"/>
  <c r="O45" i="18"/>
  <c r="J45" i="18"/>
  <c r="I45" i="18"/>
  <c r="E45" i="18"/>
  <c r="J42" i="18"/>
  <c r="I42" i="18"/>
  <c r="F42" i="18"/>
  <c r="G42" i="18" s="1"/>
  <c r="E42" i="18"/>
  <c r="O41" i="18"/>
  <c r="J41" i="18"/>
  <c r="I41" i="18"/>
  <c r="E41" i="18"/>
  <c r="D41" i="18"/>
  <c r="O40" i="18"/>
  <c r="O39" i="18"/>
  <c r="J38" i="18"/>
  <c r="I38" i="18"/>
  <c r="E38" i="18"/>
  <c r="C38" i="18"/>
  <c r="B38" i="18"/>
  <c r="J37" i="18"/>
  <c r="I37" i="18"/>
  <c r="E37" i="18"/>
  <c r="C37" i="18"/>
  <c r="B37" i="18"/>
  <c r="J36" i="18"/>
  <c r="I36" i="18"/>
  <c r="E36" i="18"/>
  <c r="C36" i="18"/>
  <c r="B36" i="18"/>
  <c r="O35" i="18"/>
  <c r="J35" i="18"/>
  <c r="I35" i="18"/>
  <c r="E35" i="18"/>
  <c r="J34" i="18"/>
  <c r="I34" i="18"/>
  <c r="E34" i="18"/>
  <c r="O33" i="18"/>
  <c r="J33" i="18"/>
  <c r="I33" i="18"/>
  <c r="E33" i="18"/>
  <c r="J32" i="18"/>
  <c r="I32" i="18"/>
  <c r="E32" i="18"/>
  <c r="D32" i="18"/>
  <c r="O32" i="18" s="1"/>
  <c r="J31" i="18"/>
  <c r="I31" i="18"/>
  <c r="E31" i="18"/>
  <c r="J30" i="18"/>
  <c r="I30" i="18"/>
  <c r="E30" i="18"/>
  <c r="O29" i="18"/>
  <c r="J29" i="18"/>
  <c r="I29" i="18"/>
  <c r="E29" i="18"/>
  <c r="J28" i="18"/>
  <c r="I28" i="18"/>
  <c r="E28" i="18"/>
  <c r="J26" i="18"/>
  <c r="I26" i="18"/>
  <c r="E26" i="18"/>
  <c r="O25" i="18"/>
  <c r="J25" i="18"/>
  <c r="I25" i="18"/>
  <c r="E25" i="18"/>
  <c r="J24" i="18"/>
  <c r="I24" i="18"/>
  <c r="E24" i="18"/>
  <c r="J23" i="18"/>
  <c r="I23" i="18"/>
  <c r="E23" i="18"/>
  <c r="J22" i="18"/>
  <c r="I22" i="18"/>
  <c r="E22" i="18"/>
  <c r="J21" i="18"/>
  <c r="I21" i="18"/>
  <c r="E21" i="18"/>
  <c r="J20" i="18"/>
  <c r="I20" i="18"/>
  <c r="E20" i="18"/>
  <c r="O18" i="18"/>
  <c r="J18" i="18"/>
  <c r="I18" i="18"/>
  <c r="E18" i="18"/>
  <c r="J17" i="18"/>
  <c r="I17" i="18"/>
  <c r="E17" i="18"/>
  <c r="J16" i="18"/>
  <c r="I16" i="18"/>
  <c r="E16" i="18"/>
  <c r="O15" i="18"/>
  <c r="J15" i="18"/>
  <c r="I15" i="18"/>
  <c r="E15" i="18"/>
  <c r="J14" i="18"/>
  <c r="I14" i="18"/>
  <c r="E14" i="18"/>
  <c r="J13" i="18"/>
  <c r="I13" i="18"/>
  <c r="E13" i="18"/>
  <c r="J12" i="18"/>
  <c r="I12" i="18"/>
  <c r="E12" i="18"/>
  <c r="O10" i="18"/>
  <c r="O132" i="18" s="1"/>
  <c r="J10" i="18"/>
  <c r="I10" i="18"/>
  <c r="E10" i="18"/>
  <c r="O9" i="18"/>
  <c r="J9" i="18"/>
  <c r="I9" i="18"/>
  <c r="E9" i="18"/>
  <c r="J8" i="18"/>
  <c r="I8" i="18"/>
  <c r="E8" i="18"/>
  <c r="G7" i="18"/>
  <c r="F123" i="18" l="1"/>
  <c r="G123" i="18" s="1"/>
  <c r="F39" i="18" l="1"/>
  <c r="G39" i="18" s="1"/>
  <c r="F116" i="18"/>
  <c r="G116" i="18" s="1"/>
  <c r="F84" i="18"/>
  <c r="G84" i="18" s="1"/>
  <c r="F59" i="18"/>
  <c r="G59" i="18" s="1"/>
  <c r="F22" i="18"/>
  <c r="G22" i="18" s="1"/>
  <c r="F99" i="18"/>
  <c r="G99" i="18" s="1"/>
  <c r="F50" i="18"/>
  <c r="G50" i="18" s="1"/>
  <c r="F11" i="18"/>
  <c r="G11" i="18" s="1"/>
  <c r="F37" i="18"/>
  <c r="G37" i="18" s="1"/>
  <c r="F29" i="18"/>
  <c r="G29" i="18" s="1"/>
  <c r="F21" i="18"/>
  <c r="G21" i="18" s="1"/>
  <c r="F114" i="18"/>
  <c r="G114" i="18" s="1"/>
  <c r="F106" i="18"/>
  <c r="G106" i="18" s="1"/>
  <c r="F98" i="18"/>
  <c r="G98" i="18" s="1"/>
  <c r="F90" i="18"/>
  <c r="G90" i="18" s="1"/>
  <c r="F82" i="18"/>
  <c r="G82" i="18" s="1"/>
  <c r="F74" i="18"/>
  <c r="G74" i="18" s="1"/>
  <c r="F65" i="18"/>
  <c r="G65" i="18" s="1"/>
  <c r="F57" i="18"/>
  <c r="G57" i="18" s="1"/>
  <c r="F49" i="18"/>
  <c r="G49" i="18" s="1"/>
  <c r="F124" i="18"/>
  <c r="G124" i="18" s="1"/>
  <c r="F23" i="18"/>
  <c r="G23" i="18" s="1"/>
  <c r="F92" i="18"/>
  <c r="G92" i="18" s="1"/>
  <c r="F67" i="18"/>
  <c r="G67" i="18" s="1"/>
  <c r="F128" i="18"/>
  <c r="G128" i="18" s="1"/>
  <c r="F115" i="18"/>
  <c r="G115" i="18" s="1"/>
  <c r="F28" i="18"/>
  <c r="G28" i="18" s="1"/>
  <c r="F97" i="18"/>
  <c r="G97" i="18" s="1"/>
  <c r="F81" i="18"/>
  <c r="G81" i="18" s="1"/>
  <c r="F73" i="18"/>
  <c r="G73" i="18" s="1"/>
  <c r="F64" i="18"/>
  <c r="G64" i="18" s="1"/>
  <c r="F56" i="18"/>
  <c r="G56" i="18" s="1"/>
  <c r="F48" i="18"/>
  <c r="G48" i="18" s="1"/>
  <c r="F31" i="18"/>
  <c r="G31" i="18" s="1"/>
  <c r="F100" i="18"/>
  <c r="G100" i="18" s="1"/>
  <c r="F51" i="18"/>
  <c r="G51" i="18" s="1"/>
  <c r="F83" i="18"/>
  <c r="G83" i="18" s="1"/>
  <c r="F20" i="18"/>
  <c r="G20" i="18" s="1"/>
  <c r="F17" i="18"/>
  <c r="G17" i="18" s="1"/>
  <c r="F27" i="18"/>
  <c r="F88" i="18"/>
  <c r="G88" i="18" s="1"/>
  <c r="F55" i="18"/>
  <c r="G55" i="18" s="1"/>
  <c r="F122" i="18"/>
  <c r="G122" i="18" s="1"/>
  <c r="F108" i="18"/>
  <c r="G108" i="18" s="1"/>
  <c r="F38" i="18"/>
  <c r="G38" i="18" s="1"/>
  <c r="F107" i="18"/>
  <c r="G107" i="18" s="1"/>
  <c r="F91" i="18"/>
  <c r="G91" i="18" s="1"/>
  <c r="F75" i="18"/>
  <c r="G75" i="18" s="1"/>
  <c r="F66" i="18"/>
  <c r="G66" i="18" s="1"/>
  <c r="F58" i="18"/>
  <c r="G58" i="18" s="1"/>
  <c r="F36" i="18"/>
  <c r="G36" i="18" s="1"/>
  <c r="F89" i="18"/>
  <c r="G89" i="18" s="1"/>
  <c r="F35" i="18"/>
  <c r="G35" i="18" s="1"/>
  <c r="F112" i="18"/>
  <c r="G112" i="18" s="1"/>
  <c r="F96" i="18"/>
  <c r="G96" i="18" s="1"/>
  <c r="F80" i="18"/>
  <c r="G80" i="18" s="1"/>
  <c r="F47" i="18"/>
  <c r="G47" i="18" s="1"/>
  <c r="F16" i="18"/>
  <c r="G16" i="18" s="1"/>
  <c r="F8" i="18"/>
  <c r="G8" i="18" s="1"/>
  <c r="F34" i="18"/>
  <c r="G34" i="18" s="1"/>
  <c r="F26" i="18"/>
  <c r="G26" i="18" s="1"/>
  <c r="F18" i="18"/>
  <c r="G18" i="18" s="1"/>
  <c r="F111" i="18"/>
  <c r="G111" i="18" s="1"/>
  <c r="F103" i="18"/>
  <c r="G103" i="18" s="1"/>
  <c r="F95" i="18"/>
  <c r="G95" i="18" s="1"/>
  <c r="F87" i="18"/>
  <c r="G87" i="18" s="1"/>
  <c r="F79" i="18"/>
  <c r="G79" i="18" s="1"/>
  <c r="F70" i="18"/>
  <c r="G70" i="18" s="1"/>
  <c r="F62" i="18"/>
  <c r="G62" i="18" s="1"/>
  <c r="F54" i="18"/>
  <c r="G54" i="18" s="1"/>
  <c r="F46" i="18"/>
  <c r="G46" i="18" s="1"/>
  <c r="F121" i="18"/>
  <c r="G121" i="18" s="1"/>
  <c r="F30" i="18"/>
  <c r="G30" i="18" s="1"/>
  <c r="F127" i="18"/>
  <c r="G127" i="18" s="1"/>
  <c r="F113" i="18"/>
  <c r="G113" i="18" s="1"/>
  <c r="F63" i="18"/>
  <c r="G63" i="18" s="1"/>
  <c r="F15" i="18"/>
  <c r="G15" i="18" s="1"/>
  <c r="F41" i="18"/>
  <c r="G41" i="18" s="1"/>
  <c r="F33" i="18"/>
  <c r="G33" i="18" s="1"/>
  <c r="F25" i="18"/>
  <c r="G25" i="18" s="1"/>
  <c r="F45" i="18"/>
  <c r="G45" i="18" s="1"/>
  <c r="F110" i="18"/>
  <c r="G110" i="18" s="1"/>
  <c r="F102" i="18"/>
  <c r="G102" i="18" s="1"/>
  <c r="F94" i="18"/>
  <c r="G94" i="18" s="1"/>
  <c r="F86" i="18"/>
  <c r="G86" i="18" s="1"/>
  <c r="F78" i="18"/>
  <c r="G78" i="18" s="1"/>
  <c r="F69" i="18"/>
  <c r="G69" i="18" s="1"/>
  <c r="F61" i="18"/>
  <c r="G61" i="18" s="1"/>
  <c r="F53" i="18"/>
  <c r="G53" i="18" s="1"/>
  <c r="F120" i="18"/>
  <c r="G120" i="18" s="1"/>
  <c r="F13" i="18"/>
  <c r="G13" i="18" s="1"/>
  <c r="F76" i="18"/>
  <c r="G76" i="18" s="1"/>
  <c r="F12" i="18"/>
  <c r="G12" i="18" s="1"/>
  <c r="F10" i="18"/>
  <c r="G10" i="18" s="1"/>
  <c r="F105" i="18"/>
  <c r="G105" i="18" s="1"/>
  <c r="F9" i="18"/>
  <c r="G9" i="18" s="1"/>
  <c r="F19" i="18"/>
  <c r="G19" i="18" s="1"/>
  <c r="F72" i="18"/>
  <c r="G72" i="18" s="1"/>
  <c r="F14" i="18"/>
  <c r="G14" i="18" s="1"/>
  <c r="F40" i="18"/>
  <c r="G40" i="18" s="1"/>
  <c r="F32" i="18"/>
  <c r="G32" i="18" s="1"/>
  <c r="F24" i="18"/>
  <c r="G24" i="18" s="1"/>
  <c r="F117" i="18"/>
  <c r="G117" i="18" s="1"/>
  <c r="F109" i="18"/>
  <c r="G109" i="18" s="1"/>
  <c r="F101" i="18"/>
  <c r="G101" i="18" s="1"/>
  <c r="F93" i="18"/>
  <c r="G93" i="18" s="1"/>
  <c r="F85" i="18"/>
  <c r="G85" i="18" s="1"/>
  <c r="F77" i="18"/>
  <c r="G77" i="18" s="1"/>
  <c r="F68" i="18"/>
  <c r="G68" i="18" s="1"/>
  <c r="F60" i="18"/>
  <c r="G60" i="18" s="1"/>
  <c r="F52" i="18"/>
  <c r="G52" i="18" s="1"/>
  <c r="F129" i="18"/>
  <c r="G129" i="18" s="1"/>
  <c r="F119" i="18"/>
  <c r="G119" i="18" s="1"/>
  <c r="F72" i="17"/>
  <c r="G72" i="17" s="1"/>
  <c r="F71" i="17"/>
  <c r="G71" i="17" s="1"/>
  <c r="F70" i="17"/>
  <c r="G70" i="17" s="1"/>
  <c r="F66" i="17"/>
  <c r="G66" i="17" s="1"/>
  <c r="F65" i="17"/>
  <c r="G65" i="17" s="1"/>
  <c r="F63" i="17"/>
  <c r="G63" i="17" s="1"/>
  <c r="F62" i="17"/>
  <c r="G62" i="17" s="1"/>
  <c r="F60" i="17"/>
  <c r="G60" i="17" s="1"/>
  <c r="F59" i="17"/>
  <c r="G59" i="17" s="1"/>
  <c r="F58" i="17"/>
  <c r="G58" i="17" s="1"/>
  <c r="F57" i="17"/>
  <c r="G57" i="17" s="1"/>
  <c r="F56" i="17"/>
  <c r="G56" i="17" s="1"/>
  <c r="F55" i="17"/>
  <c r="G55" i="17" s="1"/>
  <c r="F54" i="17"/>
  <c r="G54" i="17" s="1"/>
  <c r="F53" i="17"/>
  <c r="G53" i="17" s="1"/>
  <c r="F52" i="17"/>
  <c r="G52" i="17" s="1"/>
  <c r="F51" i="17"/>
  <c r="G51" i="17" s="1"/>
  <c r="F50" i="17"/>
  <c r="G50" i="17" s="1"/>
  <c r="F49" i="17"/>
  <c r="G49" i="17" s="1"/>
  <c r="F48" i="17"/>
  <c r="G48" i="17" s="1"/>
  <c r="F47" i="17"/>
  <c r="G47" i="17" s="1"/>
  <c r="F46" i="17"/>
  <c r="G46" i="17" s="1"/>
  <c r="F45" i="17"/>
  <c r="G45" i="17" s="1"/>
  <c r="F44" i="17"/>
  <c r="G44" i="17" s="1"/>
  <c r="F43" i="17"/>
  <c r="G43" i="17" s="1"/>
  <c r="F41" i="17"/>
  <c r="G41" i="17" s="1"/>
  <c r="F40" i="17"/>
  <c r="G40" i="17" s="1"/>
  <c r="F39" i="17"/>
  <c r="G39" i="17" s="1"/>
  <c r="F38" i="17"/>
  <c r="G38" i="17" s="1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30" i="17"/>
  <c r="G30" i="17" s="1"/>
  <c r="F29" i="17"/>
  <c r="G29" i="17" s="1"/>
  <c r="F28" i="17"/>
  <c r="G28" i="17" s="1"/>
  <c r="F27" i="17"/>
  <c r="G27" i="17" s="1"/>
  <c r="F26" i="17"/>
  <c r="G26" i="17" s="1"/>
  <c r="F25" i="17"/>
  <c r="G25" i="17" s="1"/>
  <c r="F24" i="17"/>
  <c r="G24" i="17" s="1"/>
  <c r="F23" i="17"/>
  <c r="G23" i="17" s="1"/>
  <c r="F22" i="17"/>
  <c r="G22" i="17" s="1"/>
  <c r="F21" i="17"/>
  <c r="G21" i="17" s="1"/>
  <c r="F20" i="17"/>
  <c r="G20" i="17" s="1"/>
  <c r="F19" i="17"/>
  <c r="G19" i="17" s="1"/>
  <c r="F18" i="17"/>
  <c r="G18" i="17" s="1"/>
  <c r="F17" i="17"/>
  <c r="G17" i="17" s="1"/>
  <c r="F16" i="17"/>
  <c r="G16" i="17" s="1"/>
  <c r="F15" i="17"/>
  <c r="G15" i="17" s="1"/>
  <c r="F14" i="17"/>
  <c r="G14" i="17" s="1"/>
  <c r="F13" i="17"/>
  <c r="G13" i="17" s="1"/>
  <c r="F12" i="17"/>
  <c r="G12" i="17" s="1"/>
  <c r="F11" i="17"/>
  <c r="G11" i="17" s="1"/>
  <c r="F10" i="17"/>
  <c r="F9" i="17"/>
  <c r="G9" i="17" s="1"/>
  <c r="F8" i="17"/>
  <c r="G8" i="17" s="1"/>
  <c r="F7" i="17"/>
  <c r="G7" i="17" s="1"/>
  <c r="F30" i="9"/>
  <c r="A90" i="15"/>
  <c r="B37" i="11"/>
  <c r="D37" i="11"/>
  <c r="B38" i="11"/>
  <c r="D38" i="11"/>
  <c r="B39" i="11"/>
  <c r="D39" i="11"/>
  <c r="A38" i="11"/>
  <c r="A39" i="11"/>
  <c r="A37" i="11"/>
  <c r="F35" i="9"/>
  <c r="G35" i="9" s="1"/>
  <c r="F37" i="9"/>
  <c r="G37" i="9"/>
  <c r="F36" i="9"/>
  <c r="G36" i="9" s="1"/>
  <c r="F10" i="9"/>
  <c r="F39" i="9"/>
  <c r="F38" i="9"/>
  <c r="F29" i="9"/>
  <c r="F18" i="9"/>
  <c r="F8" i="9"/>
  <c r="F9" i="9"/>
  <c r="F11" i="9"/>
  <c r="F12" i="9"/>
  <c r="F13" i="9"/>
  <c r="F14" i="9"/>
  <c r="F15" i="9"/>
  <c r="F16" i="9"/>
  <c r="F17" i="9"/>
  <c r="F19" i="9"/>
  <c r="F20" i="9"/>
  <c r="F21" i="9"/>
  <c r="F22" i="9"/>
  <c r="F23" i="9"/>
  <c r="F24" i="9"/>
  <c r="F27" i="9"/>
  <c r="F28" i="9"/>
  <c r="F32" i="9"/>
  <c r="F33" i="9"/>
  <c r="F34" i="9"/>
  <c r="F40" i="9"/>
  <c r="F41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3" i="9"/>
  <c r="F64" i="9"/>
  <c r="F65" i="9"/>
  <c r="F66" i="9"/>
  <c r="F67" i="9"/>
  <c r="F68" i="9"/>
  <c r="F62" i="9"/>
  <c r="B24" i="16" l="1"/>
  <c r="B25" i="16" s="1"/>
  <c r="B26" i="16" s="1"/>
  <c r="B27" i="16" s="1"/>
  <c r="B28" i="16" s="1"/>
  <c r="F126" i="18"/>
  <c r="G126" i="18" s="1"/>
  <c r="F125" i="18"/>
  <c r="G125" i="18" s="1"/>
  <c r="G43" i="18"/>
  <c r="F61" i="17"/>
  <c r="G61" i="17" s="1"/>
  <c r="G75" i="17" s="1"/>
  <c r="F61" i="9"/>
  <c r="B95" i="15" l="1"/>
  <c r="B94" i="15"/>
  <c r="G131" i="18"/>
  <c r="G132" i="18" s="1"/>
  <c r="G133" i="18" s="1"/>
  <c r="O133" i="18"/>
  <c r="O134" i="18" s="1"/>
  <c r="G39" i="9"/>
  <c r="G38" i="9"/>
  <c r="G18" i="9" l="1"/>
  <c r="G67" i="9" l="1"/>
  <c r="G66" i="9"/>
  <c r="G65" i="9"/>
  <c r="G64" i="9"/>
  <c r="G63" i="9"/>
  <c r="G62" i="9"/>
  <c r="B80" i="15" l="1"/>
  <c r="B86" i="15" l="1"/>
  <c r="B69" i="15"/>
  <c r="B52" i="15"/>
  <c r="B35" i="15"/>
  <c r="B63" i="15"/>
  <c r="B46" i="15"/>
  <c r="A73" i="15"/>
  <c r="A56" i="15"/>
  <c r="A39" i="15"/>
  <c r="A21" i="15"/>
  <c r="A3" i="15"/>
  <c r="B28" i="15"/>
  <c r="B9" i="15" l="1"/>
  <c r="B106" i="15"/>
  <c r="B29" i="15"/>
  <c r="F43" i="9" l="1"/>
  <c r="F7" i="9"/>
  <c r="D21" i="11" l="1"/>
  <c r="D22" i="11"/>
  <c r="D23" i="11"/>
  <c r="G21" i="9"/>
  <c r="G22" i="9"/>
  <c r="D64" i="11" l="1"/>
  <c r="D63" i="11" l="1"/>
  <c r="D62" i="11"/>
  <c r="D61" i="11"/>
  <c r="D60" i="11"/>
  <c r="D59" i="11"/>
  <c r="D58" i="11"/>
  <c r="D57" i="11"/>
  <c r="D56" i="11"/>
  <c r="D72" i="11" s="1"/>
  <c r="D55" i="11"/>
  <c r="D54" i="11"/>
  <c r="D53" i="11"/>
  <c r="D52" i="11"/>
  <c r="D51" i="11"/>
  <c r="D50" i="11"/>
  <c r="D49" i="11"/>
  <c r="D48" i="11"/>
  <c r="D47" i="11"/>
  <c r="D46" i="11"/>
  <c r="D43" i="11"/>
  <c r="D42" i="11"/>
  <c r="D36" i="11"/>
  <c r="D35" i="11"/>
  <c r="D34" i="11"/>
  <c r="D33" i="11"/>
  <c r="D32" i="11"/>
  <c r="D31" i="11"/>
  <c r="D30" i="11"/>
  <c r="D28" i="11"/>
  <c r="D26" i="11"/>
  <c r="D25" i="11"/>
  <c r="D24" i="11"/>
  <c r="D20" i="11"/>
  <c r="D18" i="11"/>
  <c r="D17" i="11"/>
  <c r="D16" i="11"/>
  <c r="D15" i="11"/>
  <c r="D14" i="11"/>
  <c r="D13" i="11"/>
  <c r="D12" i="11"/>
  <c r="D10" i="11"/>
  <c r="D9" i="11"/>
  <c r="D8" i="11"/>
  <c r="G50" i="9"/>
  <c r="G51" i="9"/>
  <c r="G52" i="9"/>
  <c r="G53" i="9"/>
  <c r="G54" i="9"/>
  <c r="G55" i="9"/>
  <c r="G56" i="9"/>
  <c r="B61" i="15" l="1"/>
  <c r="B44" i="15"/>
  <c r="B26" i="15"/>
  <c r="B78" i="15"/>
  <c r="B8" i="15" l="1"/>
  <c r="G60" i="9"/>
  <c r="G59" i="9"/>
  <c r="G44" i="9"/>
  <c r="G45" i="9"/>
  <c r="G46" i="9"/>
  <c r="G32" i="9"/>
  <c r="G17" i="9"/>
  <c r="G20" i="9" l="1"/>
  <c r="G23" i="9"/>
  <c r="G24" i="9"/>
  <c r="G27" i="9"/>
  <c r="G30" i="9"/>
  <c r="G33" i="9"/>
  <c r="G34" i="9"/>
  <c r="G40" i="9"/>
  <c r="G41" i="9"/>
  <c r="G43" i="9"/>
  <c r="G47" i="9"/>
  <c r="G48" i="9"/>
  <c r="G49" i="9"/>
  <c r="G57" i="9"/>
  <c r="G58" i="9"/>
  <c r="G61" i="9"/>
  <c r="G68" i="9"/>
  <c r="G7" i="9" l="1"/>
  <c r="G9" i="9"/>
  <c r="G11" i="9"/>
  <c r="G19" i="9" l="1"/>
  <c r="G12" i="9"/>
  <c r="G13" i="9"/>
  <c r="G14" i="9"/>
  <c r="G15" i="9"/>
  <c r="G16" i="9"/>
  <c r="G8" i="9"/>
  <c r="G28" i="9"/>
  <c r="G29" i="9"/>
  <c r="B96" i="15"/>
  <c r="B97" i="15" s="1"/>
  <c r="B98" i="15" l="1"/>
  <c r="F26" i="9"/>
  <c r="G26" i="9" l="1"/>
  <c r="F25" i="9"/>
  <c r="G25" i="9" s="1"/>
  <c r="F31" i="9" l="1"/>
  <c r="G31" i="9" s="1"/>
  <c r="G70" i="9" s="1"/>
  <c r="B25" i="15" l="1"/>
  <c r="B7" i="15" l="1"/>
  <c r="B30" i="15"/>
  <c r="B77" i="15"/>
  <c r="B83" i="15" s="1"/>
  <c r="B60" i="15"/>
  <c r="B43" i="15"/>
  <c r="B13" i="15" l="1"/>
  <c r="B14" i="15" s="1"/>
  <c r="B16" i="15" s="1"/>
  <c r="B84" i="15"/>
  <c r="B85" i="15" s="1"/>
  <c r="B65" i="15"/>
  <c r="B66" i="15" s="1"/>
  <c r="B48" i="15"/>
  <c r="B49" i="15" s="1"/>
  <c r="B31" i="15"/>
  <c r="B67" i="15" l="1"/>
  <c r="B68" i="15" s="1"/>
  <c r="B32" i="15"/>
  <c r="B34" i="15" s="1"/>
  <c r="E25" i="15" s="1"/>
  <c r="B50" i="15"/>
  <c r="B51" i="15" s="1"/>
  <c r="E105" i="15" l="1"/>
  <c r="B105" i="15"/>
</calcChain>
</file>

<file path=xl/sharedStrings.xml><?xml version="1.0" encoding="utf-8"?>
<sst xmlns="http://schemas.openxmlformats.org/spreadsheetml/2006/main" count="1577" uniqueCount="436">
  <si>
    <t>Unit</t>
  </si>
  <si>
    <t>LF</t>
  </si>
  <si>
    <t>SY</t>
  </si>
  <si>
    <t>TN</t>
  </si>
  <si>
    <t>Quantity</t>
  </si>
  <si>
    <t>ENGINEER'S COST ESTIMATE</t>
  </si>
  <si>
    <t>Unit Price</t>
  </si>
  <si>
    <t>Total</t>
  </si>
  <si>
    <t>Pay Item</t>
  </si>
  <si>
    <t>Description</t>
  </si>
  <si>
    <t>Notes</t>
  </si>
  <si>
    <t xml:space="preserve">27TH STREET EAST FROM 38TH AVENUE EAST TO 26TH AVENUE EAST </t>
  </si>
  <si>
    <t>EA</t>
  </si>
  <si>
    <t>ROADWAY IMPROVEMENTS</t>
  </si>
  <si>
    <t>CY</t>
  </si>
  <si>
    <t>Statewide</t>
  </si>
  <si>
    <t>Area 10</t>
  </si>
  <si>
    <t>MANATEE COUNTY PROJECT NO. 6096260, 6096560, 5400033, 5400034, 6101900</t>
  </si>
  <si>
    <t>102 1</t>
  </si>
  <si>
    <t>MAINTENANCE OF TRAFFIC</t>
  </si>
  <si>
    <t>110 1 1</t>
  </si>
  <si>
    <t>CLEARING &amp; GRUBBING</t>
  </si>
  <si>
    <t>AC</t>
  </si>
  <si>
    <t>110 4 10</t>
  </si>
  <si>
    <t>REMOVAL OF EXISTING CONCRETE</t>
  </si>
  <si>
    <t>120 1</t>
  </si>
  <si>
    <t>REGULAR EXCAVATION</t>
  </si>
  <si>
    <t>120 4</t>
  </si>
  <si>
    <t>SUB SOIL EXCAVATION</t>
  </si>
  <si>
    <t>120 6</t>
  </si>
  <si>
    <t>EMBANKMENT</t>
  </si>
  <si>
    <t>0160  4</t>
  </si>
  <si>
    <t>TYPE B STABILIZATION</t>
  </si>
  <si>
    <t>OPTIONAL BASE, BASE GROUP 09</t>
  </si>
  <si>
    <t>OPTIONAL BASE, BASE GROUP 01</t>
  </si>
  <si>
    <t>0334  1 53</t>
  </si>
  <si>
    <t>400 0 11</t>
  </si>
  <si>
    <t>CONCRETE CLASS NS, GRAVITY WALL</t>
  </si>
  <si>
    <t>400 4 1</t>
  </si>
  <si>
    <t>CONCRETE CLASS IV, CULVERTS</t>
  </si>
  <si>
    <t>415 1 1</t>
  </si>
  <si>
    <t>REINFORCING STEEL, ROADWAY</t>
  </si>
  <si>
    <t>LB</t>
  </si>
  <si>
    <t>455 133 2</t>
  </si>
  <si>
    <t>SHEET PILING STEEL, TEMPORARY-CRITICAL</t>
  </si>
  <si>
    <t>SF</t>
  </si>
  <si>
    <t>515 1 2</t>
  </si>
  <si>
    <t>PIPE HANDRAIL - GUIDERAIL, ALUMINUM</t>
  </si>
  <si>
    <t>520 1 10</t>
  </si>
  <si>
    <t>CONCRETE CURB TYPE F</t>
  </si>
  <si>
    <t>520 1 11</t>
  </si>
  <si>
    <t>CONCRETE CURB TYPE AB</t>
  </si>
  <si>
    <t xml:space="preserve">520 3 </t>
  </si>
  <si>
    <t>CONCRETE CURB MIAMI</t>
  </si>
  <si>
    <t>520 5 11</t>
  </si>
  <si>
    <t>TRAFFIC SEPARATOR CONCRETE-TYPE I, 4' WIDE</t>
  </si>
  <si>
    <t>0522 1</t>
  </si>
  <si>
    <t>CONCRETE SIDEWALK AND DRIVEWAYS, 4"</t>
  </si>
  <si>
    <t>0522 2</t>
  </si>
  <si>
    <t>CONCRETE SIDEWALK AND DRIVEWAYS, 6"</t>
  </si>
  <si>
    <t>527 2</t>
  </si>
  <si>
    <t>DETECTABLE WARNINGS</t>
  </si>
  <si>
    <t>570 1 2</t>
  </si>
  <si>
    <t>PERFORMANCE TURF/SOD</t>
  </si>
  <si>
    <t>999 25</t>
  </si>
  <si>
    <t>INITIAL CONTINGENCY, DO NOT BID</t>
  </si>
  <si>
    <t>LS</t>
  </si>
  <si>
    <t>710 11 101</t>
  </si>
  <si>
    <t>PAINTED PAVEMENT MARKINGS, STANDARD, WHITE, SOLID, 6"</t>
  </si>
  <si>
    <t>GM</t>
  </si>
  <si>
    <t>710 11 123</t>
  </si>
  <si>
    <t>PAINTED PAVEMENT MARKINGS, STANDARD, WHITE, SOLID, 12"</t>
  </si>
  <si>
    <t>710 11 124</t>
  </si>
  <si>
    <t>PAINTED PAVEMENT MARKINGS, STANDARD, WHITE, SOLID, 18"</t>
  </si>
  <si>
    <t>710 11 125</t>
  </si>
  <si>
    <t>PAINTED PAVEMENT MARKINGS, STANDARD, WHITE, SOLID, 24"</t>
  </si>
  <si>
    <t>710 11 141</t>
  </si>
  <si>
    <t>PAINTED PAVEMENT MARKINGS, STANDARD, WHITE, 2'-4' DOTTED GUIDELINE/6'-10' DOTTED EXTENSION , 6"</t>
  </si>
  <si>
    <t>710 11 160</t>
  </si>
  <si>
    <t>PAINTED PAVEMENT MARKINGS, STANDARD, WHITE, MESSAGE OR SYMBOL</t>
  </si>
  <si>
    <t>710 11 170</t>
  </si>
  <si>
    <t>PAINTED PAVEMENT MARKINGS, WHITE ARROWS</t>
  </si>
  <si>
    <t>710 11 201</t>
  </si>
  <si>
    <t>PAINTED PAVEMENT MARKINGS, STANDARD, YELLOW, SOLID, 6"</t>
  </si>
  <si>
    <t>710 11 224</t>
  </si>
  <si>
    <t>PAINTED PAVEMENT MARKINGS, STANDARD, YELLOW, SOLID, 18"</t>
  </si>
  <si>
    <t>710 11 231</t>
  </si>
  <si>
    <t>PAINTED PAVEMENT MARKINGS, STANDARD, YELLOW, SKIP, 6"</t>
  </si>
  <si>
    <t>710 11 241</t>
  </si>
  <si>
    <t>PAINTED PAVEMENT MARKINGS, STANDARD, YELLOW, 2'-4' DOTTED GUIDELINE/6'-10' DOTTED EXTENSION, 6"</t>
  </si>
  <si>
    <t>710 11 290</t>
  </si>
  <si>
    <t>PAINTED PAVEMENT MARKINGS, YELLOW ISLAND NOSE</t>
  </si>
  <si>
    <t>710 90</t>
  </si>
  <si>
    <t>PAINTED PAVEMENTMARKINGS, FINAL SURFACE</t>
  </si>
  <si>
    <t>700 1 11</t>
  </si>
  <si>
    <t>SINGLE POST SIGN, F&amp;I, GROUND MOUNT, UP TO 12 SF</t>
  </si>
  <si>
    <t>AS</t>
  </si>
  <si>
    <t>700 1 50</t>
  </si>
  <si>
    <t>SINGLE POST SIGN, RELOCATE</t>
  </si>
  <si>
    <t>700 1 60</t>
  </si>
  <si>
    <t>SINGLE POST SIGN, REMOVE</t>
  </si>
  <si>
    <t>700 2 12</t>
  </si>
  <si>
    <t>MULTI- POST SIGN, F&amp;I, GROUND MOUNT, 12-20 SF</t>
  </si>
  <si>
    <t>REFLECTIVE PAVEMENT MARKERS, Y/Y</t>
  </si>
  <si>
    <t>REFLECTIVE PAVEMENT MARKERS, W/R</t>
  </si>
  <si>
    <t>REFLECTIVE PAVEMENT MARKERS, MD/Y</t>
  </si>
  <si>
    <t>SUPERPAVE ASPHALTIC CONCRETE, TRAFFIC C, PG76-22, 1.5", S-I</t>
  </si>
  <si>
    <t>SUPERPAVE ASPHALTIC CONCRETE, TRAFFIC C, PG76-22, 1.5", S-III</t>
  </si>
  <si>
    <t>SUPERPAVE ASPHALTIC CONCRETE, TRAFFIC C, PG76-22, 2.25", S-III</t>
  </si>
  <si>
    <t>SUPERPAVE ASPHALTIC CONCRETE, TRAFFIC C, PG76-22, 2.5" AVG. , S-III, OVERBUILD</t>
  </si>
  <si>
    <t xml:space="preserve">0327 70 4 </t>
  </si>
  <si>
    <t>MILLING EXIST ASPH PAVT, 3" AVG DEPTH</t>
  </si>
  <si>
    <t>Roadway</t>
  </si>
  <si>
    <t>S&amp;PM</t>
  </si>
  <si>
    <t>Traffic</t>
  </si>
  <si>
    <t>Drainage</t>
  </si>
  <si>
    <t>Lighting</t>
  </si>
  <si>
    <t>MOT (estimated to be 10% of roadway)</t>
  </si>
  <si>
    <t>Subtotal</t>
  </si>
  <si>
    <t>Grand Total</t>
  </si>
  <si>
    <t>MANATEE COUNTY PROJECT NO. 6096560 (Reconstruct 2 lane road to standard width, pedestrian &amp; lighting improvements)</t>
  </si>
  <si>
    <t>Construction Budget</t>
  </si>
  <si>
    <t>630-2-11</t>
  </si>
  <si>
    <t>CONDUIT, FURNISH &amp; INSTALL, OPEN TRENCH</t>
  </si>
  <si>
    <t>630-2-12</t>
  </si>
  <si>
    <t>CONDUIT, FURNISH &amp; INSTALL, DIRECTIONAL BORE</t>
  </si>
  <si>
    <t>632-7-1</t>
  </si>
  <si>
    <t>PI</t>
  </si>
  <si>
    <t>633-1-620</t>
  </si>
  <si>
    <t>FIBER OPTIC CABLE, REMOVE, UNDERGROUND</t>
  </si>
  <si>
    <t>633-2-31</t>
  </si>
  <si>
    <t>FIBER OPTIC CONNECTION, INSTALL, SPLICE</t>
  </si>
  <si>
    <t>633-2-32</t>
  </si>
  <si>
    <t>FIBER OPTIC CONNECTION, INSTALL, TERMINATION</t>
  </si>
  <si>
    <t>633-3-14</t>
  </si>
  <si>
    <t>FIBER OPTIC CONNECTION HARDWARE, F&amp;I, BUFFER TUBE FAN-OUT KIT</t>
  </si>
  <si>
    <t>633-3-16</t>
  </si>
  <si>
    <t>FIBER OPTIC CONNECTION HARDWARE, F&amp;I, PATCH PANEL-FIELD TERMINATED</t>
  </si>
  <si>
    <t>633-3-51</t>
  </si>
  <si>
    <t>FIBER OPTIC CONNECTION HARDWARE, MODIFY, SPLICE ENCLOSURE</t>
  </si>
  <si>
    <t>633-3-52</t>
  </si>
  <si>
    <t>FIBER OPTIC CONNECTION HARDWARE, MODIFY, SPLICE TRAY</t>
  </si>
  <si>
    <t>635-2-11</t>
  </si>
  <si>
    <t>PULL &amp; SPLICE BOX, F&amp;I, 13" X 24" COVER SIZE</t>
  </si>
  <si>
    <t>635-2-12</t>
  </si>
  <si>
    <t>PULL &amp; SPLICE BOX, F&amp;I, 24" X 36" COVER SIZE</t>
  </si>
  <si>
    <t>639-1-121</t>
  </si>
  <si>
    <t>641-2-12</t>
  </si>
  <si>
    <t>PRESTRESSED CONCRETE POLE, F&amp;I, TYPE P-II SERVICE POLE</t>
  </si>
  <si>
    <t>641-2-60</t>
  </si>
  <si>
    <t>PRESTRESSED CONCRETE POLE, COMPLETE REMOVAL - SERVICE POLE</t>
  </si>
  <si>
    <t>646-1-11</t>
  </si>
  <si>
    <t>ALUMINUM SIGNALS POLE, PEDESTAL</t>
  </si>
  <si>
    <t>646-1-12</t>
  </si>
  <si>
    <t>646-1-60</t>
  </si>
  <si>
    <t>ALUMINUM SIGNALS POLE, REMOVE</t>
  </si>
  <si>
    <t>649-21-3</t>
  </si>
  <si>
    <t>649-21-6</t>
  </si>
  <si>
    <t>649-21-15</t>
  </si>
  <si>
    <t>653-1-11</t>
  </si>
  <si>
    <t>660-3-11</t>
  </si>
  <si>
    <t>660-3-12</t>
  </si>
  <si>
    <t>660-6-121</t>
  </si>
  <si>
    <t>VEHICLE DETECTION SYSTEM-AVI, Bluetooth, FURNISH &amp; INSTALL Cabinet Eq</t>
  </si>
  <si>
    <t>660-6-122</t>
  </si>
  <si>
    <t>VEHICLE DETECTION SYSTEM-AVI, Bluetooth, FURNISH &amp; INSTALL Above Grnd Eq</t>
  </si>
  <si>
    <t>665-1-11</t>
  </si>
  <si>
    <t>PEDESTRIAN DETECTOR, FURNISH &amp; INSTALL, STANDARD</t>
  </si>
  <si>
    <t>670-5-111</t>
  </si>
  <si>
    <t>TRAFFIC CONTROLLER ASSEMBLY, F&amp;I, NEMA, 1 PREEMPTION</t>
  </si>
  <si>
    <t>670-5-600</t>
  </si>
  <si>
    <t>TRAFFIC CONTROLLER ASSEMBLY, REMOVE CONTROLLER WITH CABINET</t>
  </si>
  <si>
    <t>682-1-113</t>
  </si>
  <si>
    <t>ITS CCTV CAMERA, F&amp;I, DOME PTZ ENCLOSURE-PRESSURIZED, IP, HD</t>
  </si>
  <si>
    <t>684-1-1</t>
  </si>
  <si>
    <t>MANAGED FIELD ETHERNET SWITCH, FURNISH &amp; INSTALL</t>
  </si>
  <si>
    <t>684-2-1</t>
  </si>
  <si>
    <t>DEVICE SERVER, FURNISH &amp; INSTALL</t>
  </si>
  <si>
    <t>700-5-22</t>
  </si>
  <si>
    <t xml:space="preserve">INTERNALLY ILLUMINATED SIGN, FURNISH &amp; INSTALL </t>
  </si>
  <si>
    <t>OVERHEAD MOUNT, 12-20 SF</t>
  </si>
  <si>
    <t>0104  1</t>
  </si>
  <si>
    <t>ARTIFICIAL COVERINGS /ROLLED EROSION CONTROL PRODUCTS</t>
  </si>
  <si>
    <t>0104 11</t>
  </si>
  <si>
    <t>FLOATING TURBIDITY BARRIER</t>
  </si>
  <si>
    <t>0425  11</t>
  </si>
  <si>
    <t>MODIFY EXISTING DRAINAGE STRUCTURE</t>
  </si>
  <si>
    <t>0425  2 71</t>
  </si>
  <si>
    <t>MANHOLES, J-7, &lt;10'</t>
  </si>
  <si>
    <t>PIPE CULVERT, OPT MATERIAL, OTHER SHAPE - ELIP/ARCH, 60" S/CD</t>
  </si>
  <si>
    <t>MITERED END SECTION, OPTIONAL - ELLIPTICAL / ARCH, 60" CD</t>
  </si>
  <si>
    <t>0530  3  4</t>
  </si>
  <si>
    <t>RIPRAP, RUBBLE, F&amp;I, DITCH LINING</t>
  </si>
  <si>
    <t>0530 74</t>
  </si>
  <si>
    <t>BEDDING STONE</t>
  </si>
  <si>
    <t>0104 10  3</t>
  </si>
  <si>
    <t>SEDIMENT BARRIER</t>
  </si>
  <si>
    <t>0104 18</t>
  </si>
  <si>
    <t>INLET PROTECTION SYSTEM</t>
  </si>
  <si>
    <t>0425  1341</t>
  </si>
  <si>
    <t>INLETS, CURB, TYPE P-4, &lt;10'</t>
  </si>
  <si>
    <t>0425  1351</t>
  </si>
  <si>
    <t>INLETS, CURB, TYPE P-5, &lt;10'</t>
  </si>
  <si>
    <t>0425  1361</t>
  </si>
  <si>
    <t>INLETS, CURB, TYPE P-6, &lt;10'</t>
  </si>
  <si>
    <t>0425  1561</t>
  </si>
  <si>
    <t>INLETS, DT BOT, TYPE F, &lt;10'</t>
  </si>
  <si>
    <t>PIPE CULVERT, OPTIONAL MATERIAL, ROUND, 18"S/CD</t>
  </si>
  <si>
    <t>PIPE CULVERT, OPTIONAL MATERIAL ,ROUND, 24"S/CD</t>
  </si>
  <si>
    <t>PIPE CULVERT,OPTIONAL MATERIAL,OTHER SHAPE-ELIP/ARCH, 24" S/CD</t>
  </si>
  <si>
    <t>MITERED END SECTION, OPTIONAL ROUND, 18" CD</t>
  </si>
  <si>
    <t>0425  1331</t>
  </si>
  <si>
    <t>INLETS, CURB, TYPE P-3, &lt;10'</t>
  </si>
  <si>
    <t>0425  1431</t>
  </si>
  <si>
    <t>INLETS, CURB, TYPE J-3, &lt;10'</t>
  </si>
  <si>
    <t>0425  1521</t>
  </si>
  <si>
    <t>INLETS, DT BOT, TYPE C,&lt;10'</t>
  </si>
  <si>
    <t>PIPE CULVERT, OPTIONAL MATERIAL, ROUND, 30"S/CD</t>
  </si>
  <si>
    <t>MITERED END SECTION, OPTIONAL ROUND, 15" CD</t>
  </si>
  <si>
    <t>MITERED END SECTION, OPTIONAL ROUND, 24" CD</t>
  </si>
  <si>
    <t>0440 1 10</t>
  </si>
  <si>
    <t>UNDERDRAIN, TYPE I</t>
  </si>
  <si>
    <t>0104 15</t>
  </si>
  <si>
    <t>SOIL TRACKING PREVENTION DEVICE</t>
  </si>
  <si>
    <t>0425  1441</t>
  </si>
  <si>
    <t>INLETS, CURB, TYPE J-4, &lt;10'</t>
  </si>
  <si>
    <t>0425  1451</t>
  </si>
  <si>
    <t>INLETS, CURB, TYPE J-5, &lt;10'</t>
  </si>
  <si>
    <t>0425  1471</t>
  </si>
  <si>
    <t>INLETS, CURB, TYPE 7, &lt;10'</t>
  </si>
  <si>
    <t>0425  1541</t>
  </si>
  <si>
    <t>INLETS, DT BOT, TYPE D, &lt;10'</t>
  </si>
  <si>
    <t>0425  2 41</t>
  </si>
  <si>
    <t>MANHOLES, P-7, &lt;10'</t>
  </si>
  <si>
    <t>PIPE CULVERT,OPTIONAL MATERIAL,OTHER SHAPE-ELIP/ARCH, 18" S/CD</t>
  </si>
  <si>
    <t>PIPE CULVERT,OPTIONAL MATERIAL,OTHER SHAPE-ELIP/ARCH, 30" S/CD</t>
  </si>
  <si>
    <t>PIPE CULVERT,OPTIONAL MATERIAL,OTHER SHAPE-ELIP/ARCH, 36" S/CD</t>
  </si>
  <si>
    <t>PIPE CULVERT,OPTIONAL MATERIAL,OTHER SHAPE-ELIP/ARCH, 42" S/CD</t>
  </si>
  <si>
    <t>PIPE CULVERT, OPT MATERIAL, OTHER SHAPE - ELIP/ARCH, 48" S/CD</t>
  </si>
  <si>
    <t>0430830</t>
  </si>
  <si>
    <t>PIPE FILLING AND PLUGGING- PLACE OUT OF SERVICE</t>
  </si>
  <si>
    <t>MITERED END SECTION, OPTIONAL - ELLIPTICAL / ARCH, 15" CD</t>
  </si>
  <si>
    <t>MITERED END SECTION, OPTIONAL - ELLIPTICAL / ARCH, 36" CD</t>
  </si>
  <si>
    <t>630 2 11</t>
  </si>
  <si>
    <t>LIGHTING CONDUIT, (F &amp; I), UNDERGROUND</t>
  </si>
  <si>
    <t>630 2 12</t>
  </si>
  <si>
    <t>635 2 11</t>
  </si>
  <si>
    <t>PULL &amp; SPLICE BOX, F&amp;I, 13" x 24" COVER SIZE</t>
  </si>
  <si>
    <t>639 1 112</t>
  </si>
  <si>
    <t>ELECTRICAL POWER SERVICE, F&amp;I OVERHEAD, METER PURCHASED BY CONTRACTOR</t>
  </si>
  <si>
    <t>715 1 11</t>
  </si>
  <si>
    <t>LIGHTING CONDUCTORS, F&amp;I, INSULATED, NO 10 OR &lt;</t>
  </si>
  <si>
    <t>715 1 12</t>
  </si>
  <si>
    <t>LIGHTING CONDUCTORS, F&amp;I, INSULATED, NO 6 TO NO 8</t>
  </si>
  <si>
    <t>715 4 11</t>
  </si>
  <si>
    <t>LIGHT POLE COMPLETE, FURNISH &amp; INSTALL STANDARD POLE STANDARD FOUNDATION, 30' MOUNTING HEIGHT</t>
  </si>
  <si>
    <t>715 4 13</t>
  </si>
  <si>
    <t>LIGHT POLE COMPLETE, FURNISH &amp; INSTALL STANDARD POLE STANDARD FOUNDATION, 40' MOUNTING HEIGHT</t>
  </si>
  <si>
    <t>715 7 11</t>
  </si>
  <si>
    <t>LOAD CENTER, F&amp;I, SECONDARY VOLTAGE</t>
  </si>
  <si>
    <t>715 500 1</t>
  </si>
  <si>
    <t>Utility Improvements</t>
  </si>
  <si>
    <t>Mobilization, Demobilization, Survey</t>
  </si>
  <si>
    <t>10% Contingency</t>
  </si>
  <si>
    <t>706 1 3</t>
  </si>
  <si>
    <t>0425  1523</t>
  </si>
  <si>
    <t>INLETS, DT BOT, TYPE C, JBOT, &lt;10'</t>
  </si>
  <si>
    <t>0425  1531</t>
  </si>
  <si>
    <t>INLETS, DT BOT, TYPE C MODIFIED- BACK OF SIDEWALK, &lt;10'</t>
  </si>
  <si>
    <t>0425  1533</t>
  </si>
  <si>
    <t>INLETS, DT BOT, TYPE C MODIFIED- BACK OF SIDEWALK, J BOT, &lt;10'</t>
  </si>
  <si>
    <t>MITERED END SECTION, OPTIONAL - ELLIPTICAL / ARCH, 42" CD</t>
  </si>
  <si>
    <t>0524 1 29</t>
  </si>
  <si>
    <t>CONCRETE DITCH PAVEMENT, 4", REINFORCED</t>
  </si>
  <si>
    <t>SMF Site = 0.85 acres</t>
  </si>
  <si>
    <t>4,800 CY CUT for SMF - 530 CY FILL for SMF Berm</t>
  </si>
  <si>
    <t>STRAIGHT CONCRETE ENDWALLS, 24", SINGLE, 30 DEGREES, ROUND</t>
  </si>
  <si>
    <t>STRAIGHT CONCRETE ENDWALLS, 48", SINGLE, 0 DEGREES, ELLIPTICAL</t>
  </si>
  <si>
    <t>STRAIGHT CONCRETE ENDWALLS, 60", SINGLE, 0 DEGREES, ELLIPTICAL</t>
  </si>
  <si>
    <t>ASPHALTIC CONCRETE, TRAFFIC C, PG76-22, 1.5", S-I</t>
  </si>
  <si>
    <t>ASPHALTIC CONCRETE, TRAFFIC C, PG76-22, 1.5", S-III</t>
  </si>
  <si>
    <t>ASPHALTIC CONCRETE, TRAFFIC C, PG76-22, 2.25", S-III</t>
  </si>
  <si>
    <t>ASPHALTIC CONCRETE, TRAFFIC C, PG76-22, 2.5" AVG. , S-III, OVERBUILD</t>
  </si>
  <si>
    <t>711 11 123</t>
  </si>
  <si>
    <t>THERMOPLASTIC, STANDARD, WHITE, SOLID, 12" FOR CROSSWALK AND ROUNDABOUT</t>
  </si>
  <si>
    <t>711 11 125</t>
  </si>
  <si>
    <t xml:space="preserve">THERMOPLASTIC, STANDARD, WHITE, SOLID, 24" FOR CROSSWALK </t>
  </si>
  <si>
    <t>711 11 141</t>
  </si>
  <si>
    <t>THERMOPLASTIC, STANDARD, WHITE, SOLID, 2'-4' DOTTED GUIDELINE, 6"</t>
  </si>
  <si>
    <t>711 14 170</t>
  </si>
  <si>
    <t>711 16 101</t>
  </si>
  <si>
    <t>711 16 201</t>
  </si>
  <si>
    <t>THERMOPLASTIC, STANDARD, WHITE, ARROW</t>
  </si>
  <si>
    <t>THERMOPLASTIC, STANDARD, OTHER SURFACES, YELLOW, SOLID, 6"</t>
  </si>
  <si>
    <t>THERMOPLASTIC, STANDARD, OTHER SURFACES, WHITE, SOLID, 6"</t>
  </si>
  <si>
    <t>POLE CABLE DISTRIBUTION SYSTEM, F&amp;I, CONVENTIONAL</t>
  </si>
  <si>
    <t>715 4 12</t>
  </si>
  <si>
    <t>LIGHT POLE COMPLETE, FURNISH &amp; INSTALL STANDARD POLE STANDARD FOUNDATION, 35' MOUNTING HEIGHT</t>
  </si>
  <si>
    <t>550 10 620</t>
  </si>
  <si>
    <t>550 60 937</t>
  </si>
  <si>
    <t>FENCE GATE</t>
  </si>
  <si>
    <t>FENCING, VINYL FENCE 5.1-6.0</t>
  </si>
  <si>
    <t>327 70 6</t>
  </si>
  <si>
    <t>MILLING EXIST ASPH PAVT, 1.5" AVG DEPTH</t>
  </si>
  <si>
    <t>653-1-12</t>
  </si>
  <si>
    <t>654-2-11</t>
  </si>
  <si>
    <t>PRODUCTION</t>
  </si>
  <si>
    <t>Total:</t>
  </si>
  <si>
    <t>Total 6096260:</t>
  </si>
  <si>
    <t xml:space="preserve">Grand total: </t>
  </si>
  <si>
    <t>101 1</t>
  </si>
  <si>
    <t>MOBILIZATION</t>
  </si>
  <si>
    <t>10% MOB Estimate</t>
  </si>
  <si>
    <t>110 7 1</t>
  </si>
  <si>
    <t>Mailbox F&amp;I, Single</t>
  </si>
  <si>
    <t>Mailbox F&amp;I Single</t>
  </si>
  <si>
    <t>536 1 0</t>
  </si>
  <si>
    <t>536 85 20</t>
  </si>
  <si>
    <t>536 85 24</t>
  </si>
  <si>
    <t>Guardrail - Roadway General/Low Speed TL-2</t>
  </si>
  <si>
    <t>Guardrail End Treatment - Trailing Anchorage</t>
  </si>
  <si>
    <t>Guardrail End Treatment - Parallel Approach Terminal</t>
  </si>
  <si>
    <t>Potable Water</t>
  </si>
  <si>
    <t>Wastewater</t>
  </si>
  <si>
    <t>Remove and restore asphalt pavement</t>
  </si>
  <si>
    <t>6096570 Potable Water</t>
  </si>
  <si>
    <t>6096580 Wastewater</t>
  </si>
  <si>
    <t>UTILITY IMPROVEMENTS</t>
  </si>
  <si>
    <t>Final Submittal - October 2022</t>
  </si>
  <si>
    <t>0327 70 6</t>
  </si>
  <si>
    <t>Ea</t>
  </si>
  <si>
    <t>INTERNALLY ILLUMINATED SIGN, FURNISH &amp; INSTALL OVERHEAD MOUNT, 12-20 SF</t>
  </si>
  <si>
    <t>VEHICLE DETECTION SYSTEM-MICROWAVE, FURNISH &amp; INSTALL ABOVE GROUND EQUIPMENT</t>
  </si>
  <si>
    <t>VEHICLE DETECTION SYSTEM-MICROWAVE, FURNISH &amp; INSTALL CABINET EQUIPMENT</t>
  </si>
  <si>
    <t>MIDBLOCK CROSSWALK: RECTANGULAR RAPID FLASHING BEACON F&amp;I - AC COMPLETE ASSEMBLY SINGLE DIR</t>
  </si>
  <si>
    <t>PEDESTRIAN SIGNAL, FURNISH &amp; INSTALLED LED COUNTDOWN 2 WAY</t>
  </si>
  <si>
    <t>PEDESTRIAN SIGNAL, FURNISH &amp; INSTALLED LED COUNTDOWN 1 WAY</t>
  </si>
  <si>
    <t>STEEL MAST ARM ASSEMBLY, FURNISH &amp; INSTALL, SINGLE ARM 70'</t>
  </si>
  <si>
    <t>STEEL MAST ARM ASSEMBLY, FURNISH &amp; INSTALL, SINGLE ARM 50'</t>
  </si>
  <si>
    <t>STEEL MAST ARM ASSEMBLY, FURNISH &amp; INSTALL, SINGLE ARM 40'</t>
  </si>
  <si>
    <t>ALUMINUM SIGNALS POLE, FURNISH &amp; INSTALL PEDESTRIAN DETECTOR POST</t>
  </si>
  <si>
    <t>ELECTRICAL POWER SERVICE, F&amp;I, UNDERGROUND, METER FURNISHED BY POWER COMPANY</t>
  </si>
  <si>
    <t>SIGNAL CABLE, NEW OR RECONSTRUCTED INTERSECTION, FURNISH &amp; INSTALL</t>
  </si>
  <si>
    <t>MIDBLOCK CROSSWALK: RECTANGULAR RAPID FLASHING BEACON F&amp;I - AC  COMPLETE ASSEMBLY SINGLE DIR</t>
  </si>
  <si>
    <t>Final Submittal - July 2023</t>
  </si>
  <si>
    <t>MANATEE COUNTY PROJECT NO. 6096260</t>
  </si>
  <si>
    <t>0520 1 7</t>
  </si>
  <si>
    <t>CONCRETE CURB &amp; GUTTER, TYPE E</t>
  </si>
  <si>
    <t>PIPE CULVERT,OPTIONAL MATERIAL,ROUND, 15"S/CD</t>
  </si>
  <si>
    <t>639-4-6</t>
  </si>
  <si>
    <t>Emergency Generator-Portable, Housing Only</t>
  </si>
  <si>
    <t>ENCHANCED HIGHWAY SIGN ASSEMBLY, AC POWERED F&amp;I, OH MOUNT, BLANK OUT SIGN 12-16 SF</t>
  </si>
  <si>
    <t>633-1-122</t>
  </si>
  <si>
    <t>FIBER OPTIC CABLE, F&amp;I, UNDERGROUND, 13-48 FIBERS</t>
  </si>
  <si>
    <t>711 11 124</t>
  </si>
  <si>
    <t>THERMOPLASTIC, STANDARD, WHITE, SOLID, 18" FOR DIAGONALS AND CHEVRONS</t>
  </si>
  <si>
    <t>711 11 224</t>
  </si>
  <si>
    <t>THERMOPLASTIC, STANDARD, YELLOW, SOLID, 18" FOR DIAGONALS AND CHEVRONS</t>
  </si>
  <si>
    <t>711 11 160</t>
  </si>
  <si>
    <t>THERMOPLASTIC, STANDARD, WHITE, MESSAGE OR SYMBOL</t>
  </si>
  <si>
    <t>THERMOPLASTIC, STANDARD, YELLOW, 2-4 DOTTED GUIDE LINE /6-10 DOTTED EXTENSION LINE, 6"</t>
  </si>
  <si>
    <t>711 11 241</t>
  </si>
  <si>
    <t>MOB (estimated to be 10% of Roadway)</t>
  </si>
  <si>
    <t>MOB (estimated to be 10% of roadway)</t>
  </si>
  <si>
    <t>May 2025</t>
  </si>
  <si>
    <t>714-10</t>
  </si>
  <si>
    <t>GREEN-COLORED PAVEMENT MARKINGS, BIKE LANE</t>
  </si>
  <si>
    <t>715 61 11</t>
  </si>
  <si>
    <t>715 61 311</t>
  </si>
  <si>
    <t>LIGHT POLE COMPLETE, FURNISH &amp; INSTALL STANDARD POLE STANDARD FOUNDATION, 40' MOUNTING HEIGHT 8' ARM</t>
  </si>
  <si>
    <t>715 61 321</t>
  </si>
  <si>
    <t>LIGHT POLE COMPLETE, FURNISH &amp; INSTALL STANDARD POLE STANDARD FOUNDATION, 40' MOUNTING HEIGHT 10' ARM</t>
  </si>
  <si>
    <t>715 65 166</t>
  </si>
  <si>
    <t>LIGHT POLE COMPLETE, FURNISH &amp; INSTALL UTILITY CONFLICT POLE SPECIAL FOUNDATION, 30' MOUNTING HEIGHT 16' ARM</t>
  </si>
  <si>
    <t>633-3-17</t>
  </si>
  <si>
    <t>FIBER OPTIC CONNECTION HARDWARE, F&amp;I, Connector Panel</t>
  </si>
  <si>
    <t>FIBER OPTIC CONNECTION HARDWARE, F&amp;I, connector panel</t>
  </si>
  <si>
    <t>635-2-13</t>
  </si>
  <si>
    <t>PULL &amp; SPLICE BOX, F&amp;I, 36" ROUND COVER SIZE</t>
  </si>
  <si>
    <t>PULL &amp; SPLICE BOX, F&amp;I, 36" round COVER SIZE</t>
  </si>
  <si>
    <t>646-2-120</t>
  </si>
  <si>
    <t>ALUMINUM POLE-INDEX 17900/695-001, FURNISH &amp; INSTALL, 20'</t>
  </si>
  <si>
    <t>VEHICULAR TRAFFIC SIGNAL, FURNISH &amp; INSTALL POLYCARBONATE, 3 SECTION, 1 WAY</t>
  </si>
  <si>
    <t>VEHICULAR TRAFFIC SIGNAL, FURNISH &amp; INSTALL POLYCARBONATE, 4 SECTION, 1 WAY</t>
  </si>
  <si>
    <t>VEHICULAR TRAFFIC SIGNAL, FURNISH &amp; INSTALL POLYCARBONATE, 5 SECTION, 1 WAY</t>
  </si>
  <si>
    <t>650-1-34</t>
  </si>
  <si>
    <t>650-1-36</t>
  </si>
  <si>
    <t>650-1-39</t>
  </si>
  <si>
    <t>685-1-13</t>
  </si>
  <si>
    <t>UNINTERRUPTIBLE POWER SUPPLY, FURNISH &amp; INSTALL, LINE INTERACTIVE WITH CABINET</t>
  </si>
  <si>
    <t>685-2-1</t>
  </si>
  <si>
    <t>REMOTE POWER MANAGEMENT UNIT-RPMU, F&amp;I</t>
  </si>
  <si>
    <t>700-1-111</t>
  </si>
  <si>
    <t>SIGN COLUMN GROUND SIGN ASSEMBLY, F&amp;I GROUND MOUNT, LESS THAN 12 SF</t>
  </si>
  <si>
    <t>EMERGENCY GENERATOR - PORTABLE, HOUSING ONLY</t>
  </si>
  <si>
    <t>UNINTERRUPTIBLE POWER SUPPLY, FURNISH &amp; INSTALL,LINE INTERACTIVEWITH CABINET</t>
  </si>
  <si>
    <t>SINGLE COLUMN GROUND SIGN ASSEMBLY, F&amp;I GROUND MOUNT LESS THAN 12 SF</t>
  </si>
  <si>
    <t>700 141 360</t>
  </si>
  <si>
    <t>ENHANCED HIGHWAY SIGN ASSEMBLY, AC POWERED F&amp;I OH MOUNT, BLANK OUT SIGN 12-16 SF</t>
  </si>
  <si>
    <t>REMOTE POWER MANAGEMENT UNIT, FURNISH &amp; INSTALL</t>
  </si>
  <si>
    <t>Furnish and Install 6-inch Diameter DIP Water Main by 
Open Cut</t>
  </si>
  <si>
    <t>Remove 6-inch Diameter PVC Water Main</t>
  </si>
  <si>
    <t>Furnish and Install 6-inch Gate Valve</t>
  </si>
  <si>
    <t>Relocate Existing Hydrant and Valve</t>
  </si>
  <si>
    <t>Fire Hydrant, Standard, Furnish and Install</t>
  </si>
  <si>
    <t>Abandon and Grout fill 6-inch Water Main</t>
  </si>
  <si>
    <t>Remove and Restore Asphalt Pavement</t>
  </si>
  <si>
    <t xml:space="preserve">Existing 1" Water Service Replacement </t>
  </si>
  <si>
    <t>Mobilization, Demobilization, and Survey</t>
  </si>
  <si>
    <t>Furnish and Install 6-inch Diameter PVC Force main by 
Open Cut</t>
  </si>
  <si>
    <t>Furnish and Install 10-inch Diameter PVC Force Main by 
Open Cut</t>
  </si>
  <si>
    <t>Abandon and Grout fill 6-inch Force Main</t>
  </si>
  <si>
    <t>Furnish and Install Combination Air Release Valve 
Assembly</t>
  </si>
  <si>
    <t>IFBC NO. 26-TA006402SAM</t>
  </si>
  <si>
    <t>27TH STREET E FROM 31ST AVE E TO 26TH AVE E ROADWAY IMPROVEMENTS</t>
  </si>
  <si>
    <t xml:space="preserve">To be considered responsive, it is the sole responsibility of the bidder to correctly calculate and manually enter all sub-total, contingency, and total bid prices. </t>
  </si>
  <si>
    <t>PROJECT #6096560</t>
  </si>
  <si>
    <t>Subtotal for 6096560</t>
  </si>
  <si>
    <t>10% Contract Contingency (County authorized use only)</t>
  </si>
  <si>
    <t>Grand Total for 6096560</t>
  </si>
  <si>
    <t>PROJECT: ITS AND SIGNALS</t>
  </si>
  <si>
    <t xml:space="preserve">To be considered responsive, it is the sole responsibility of the bidder to correctly calculate and manually enter on each TAB all sub-total, contingency, and total bid prices. </t>
  </si>
  <si>
    <t>Subtotal for ITS &amp; SIGNALS</t>
  </si>
  <si>
    <t>Grand Total for ITS &amp; SIGNALS</t>
  </si>
  <si>
    <t>PROJECT #6096570 &amp; 6096580</t>
  </si>
  <si>
    <t>Grand Total for 6096570</t>
  </si>
  <si>
    <t>Subtotal for 6096570:</t>
  </si>
  <si>
    <t>Subtotal for 6096580</t>
  </si>
  <si>
    <t>Grand Total for 6096580</t>
  </si>
  <si>
    <t>PROJECT #6096560, ITS &amp; SIGNAL, 6096570, AND 6096580 TOTAL BID SUMMARY</t>
  </si>
  <si>
    <t xml:space="preserve"> Total for 6096570</t>
  </si>
  <si>
    <t>Total for 6096560</t>
  </si>
  <si>
    <t>Total for ITS &amp; SIGNALS</t>
  </si>
  <si>
    <t>Total for 6096580</t>
  </si>
  <si>
    <t>TOTAL BID PRICE (6096560, ITS &amp; SIGNALS, 6096570, AND 6096580</t>
  </si>
  <si>
    <t>APPENDIX M, BID PRICING FORM - FILLABLE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</si>
</sst>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92C3F"/>
      <name val="Calibri"/>
      <family val="2"/>
      <scheme val="minor"/>
    </font>
    <font>
      <sz val="10"/>
      <color theme="1"/>
      <name val="Arial"/>
      <family val="2"/>
    </font>
    <font>
      <sz val="10"/>
      <color rgb="FF192C3F"/>
      <name val="Arial"/>
      <family val="2"/>
    </font>
    <font>
      <b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0" fontId="1" fillId="0" borderId="0"/>
    <xf numFmtId="44" fontId="22" fillId="0" borderId="0" applyFont="0" applyFill="0" applyBorder="0" applyAlignment="0" applyProtection="0"/>
  </cellStyleXfs>
  <cellXfs count="227">
    <xf numFmtId="0" fontId="0" fillId="0" borderId="0" xfId="0"/>
    <xf numFmtId="44" fontId="0" fillId="0" borderId="0" xfId="42" applyFo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19" fillId="0" borderId="0" xfId="0" applyFont="1" applyAlignment="1">
      <alignment horizontal="left" vertical="top" indent="2"/>
    </xf>
    <xf numFmtId="0" fontId="19" fillId="0" borderId="0" xfId="0" applyFont="1" applyAlignment="1">
      <alignment horizontal="left" vertical="top" wrapText="1" indent="2"/>
    </xf>
    <xf numFmtId="0" fontId="0" fillId="0" borderId="10" xfId="0" applyBorder="1"/>
    <xf numFmtId="44" fontId="0" fillId="0" borderId="0" xfId="42" applyFont="1" applyAlignment="1">
      <alignment horizontal="right" vertical="center"/>
    </xf>
    <xf numFmtId="44" fontId="0" fillId="0" borderId="11" xfId="42" applyFont="1" applyBorder="1"/>
    <xf numFmtId="0" fontId="13" fillId="33" borderId="13" xfId="0" applyFont="1" applyFill="1" applyBorder="1" applyAlignment="1">
      <alignment horizontal="center" vertical="center"/>
    </xf>
    <xf numFmtId="44" fontId="0" fillId="0" borderId="0" xfId="42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44" fontId="0" fillId="0" borderId="10" xfId="42" applyFont="1" applyFill="1" applyBorder="1"/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20" fillId="0" borderId="10" xfId="0" applyFont="1" applyBorder="1" applyAlignment="1">
      <alignment horizontal="center"/>
    </xf>
    <xf numFmtId="164" fontId="0" fillId="0" borderId="12" xfId="42" applyNumberFormat="1" applyFont="1" applyBorder="1"/>
    <xf numFmtId="0" fontId="13" fillId="33" borderId="13" xfId="0" applyFont="1" applyFill="1" applyBorder="1" applyAlignment="1">
      <alignment horizontal="center"/>
    </xf>
    <xf numFmtId="44" fontId="13" fillId="33" borderId="13" xfId="42" applyFont="1" applyFill="1" applyBorder="1" applyAlignment="1">
      <alignment horizontal="center"/>
    </xf>
    <xf numFmtId="164" fontId="0" fillId="0" borderId="12" xfId="42" applyNumberFormat="1" applyFont="1" applyFill="1" applyBorder="1"/>
    <xf numFmtId="165" fontId="0" fillId="0" borderId="10" xfId="0" applyNumberFormat="1" applyBorder="1" applyAlignment="1">
      <alignment horizontal="center" vertical="center"/>
    </xf>
    <xf numFmtId="44" fontId="0" fillId="0" borderId="14" xfId="42" applyFont="1" applyFill="1" applyBorder="1"/>
    <xf numFmtId="164" fontId="0" fillId="0" borderId="0" xfId="0" applyNumberFormat="1" applyAlignment="1">
      <alignment horizontal="center"/>
    </xf>
    <xf numFmtId="0" fontId="0" fillId="0" borderId="15" xfId="0" applyBorder="1"/>
    <xf numFmtId="0" fontId="0" fillId="34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0" xfId="0" applyFill="1" applyBorder="1"/>
    <xf numFmtId="1" fontId="0" fillId="35" borderId="10" xfId="0" applyNumberForma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164" fontId="0" fillId="35" borderId="12" xfId="42" applyNumberFormat="1" applyFont="1" applyFill="1" applyBorder="1"/>
    <xf numFmtId="44" fontId="0" fillId="35" borderId="10" xfId="42" applyFont="1" applyFill="1" applyBorder="1"/>
    <xf numFmtId="0" fontId="0" fillId="0" borderId="0" xfId="0" applyAlignment="1">
      <alignment horizontal="center"/>
    </xf>
    <xf numFmtId="44" fontId="0" fillId="0" borderId="0" xfId="0" applyNumberFormat="1"/>
    <xf numFmtId="164" fontId="0" fillId="0" borderId="0" xfId="0" applyNumberFormat="1"/>
    <xf numFmtId="166" fontId="0" fillId="0" borderId="10" xfId="0" applyNumberForma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165" fontId="23" fillId="0" borderId="10" xfId="0" applyNumberFormat="1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0" fontId="0" fillId="35" borderId="0" xfId="0" applyFill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right"/>
    </xf>
    <xf numFmtId="164" fontId="0" fillId="0" borderId="19" xfId="0" applyNumberFormat="1" applyBorder="1" applyAlignment="1">
      <alignment horizontal="left"/>
    </xf>
    <xf numFmtId="0" fontId="0" fillId="0" borderId="18" xfId="0" applyBorder="1" applyAlignment="1">
      <alignment horizontal="right" vertical="top"/>
    </xf>
    <xf numFmtId="164" fontId="19" fillId="0" borderId="19" xfId="0" applyNumberFormat="1" applyFont="1" applyBorder="1" applyAlignment="1">
      <alignment horizontal="left" vertical="top"/>
    </xf>
    <xf numFmtId="164" fontId="19" fillId="0" borderId="19" xfId="0" applyNumberFormat="1" applyFont="1" applyBorder="1" applyAlignment="1">
      <alignment horizontal="left" vertical="top" wrapText="1"/>
    </xf>
    <xf numFmtId="0" fontId="0" fillId="0" borderId="18" xfId="0" applyBorder="1" applyAlignment="1">
      <alignment horizontal="right" vertical="top" wrapText="1"/>
    </xf>
    <xf numFmtId="0" fontId="0" fillId="0" borderId="20" xfId="0" applyBorder="1" applyAlignment="1">
      <alignment horizontal="right" vertical="top"/>
    </xf>
    <xf numFmtId="164" fontId="19" fillId="0" borderId="21" xfId="0" applyNumberFormat="1" applyFont="1" applyBorder="1" applyAlignment="1">
      <alignment horizontal="left" vertical="top" wrapText="1"/>
    </xf>
    <xf numFmtId="0" fontId="0" fillId="34" borderId="22" xfId="0" applyFill="1" applyBorder="1" applyAlignment="1">
      <alignment horizontal="right" vertical="top"/>
    </xf>
    <xf numFmtId="164" fontId="0" fillId="34" borderId="23" xfId="0" applyNumberFormat="1" applyFill="1" applyBorder="1" applyAlignment="1">
      <alignment horizontal="left"/>
    </xf>
    <xf numFmtId="0" fontId="0" fillId="36" borderId="0" xfId="0" applyFill="1"/>
    <xf numFmtId="0" fontId="1" fillId="0" borderId="10" xfId="44" applyBorder="1" applyAlignment="1">
      <alignment horizontal="center"/>
    </xf>
    <xf numFmtId="0" fontId="20" fillId="0" borderId="10" xfId="43" applyFont="1" applyBorder="1" applyAlignment="1">
      <alignment horizontal="left" vertical="center"/>
    </xf>
    <xf numFmtId="1" fontId="20" fillId="0" borderId="10" xfId="43" applyNumberFormat="1" applyFont="1" applyBorder="1" applyAlignment="1">
      <alignment horizontal="center" vertical="center"/>
    </xf>
    <xf numFmtId="0" fontId="1" fillId="0" borderId="10" xfId="44" applyBorder="1" applyAlignment="1">
      <alignment horizontal="center" vertical="center"/>
    </xf>
    <xf numFmtId="0" fontId="25" fillId="0" borderId="10" xfId="44" applyFont="1" applyBorder="1" applyAlignment="1">
      <alignment horizontal="center" vertical="center"/>
    </xf>
    <xf numFmtId="44" fontId="20" fillId="0" borderId="10" xfId="43" applyNumberFormat="1" applyFont="1" applyBorder="1"/>
    <xf numFmtId="0" fontId="20" fillId="0" borderId="10" xfId="44" applyFont="1" applyBorder="1" applyAlignment="1">
      <alignment wrapText="1"/>
    </xf>
    <xf numFmtId="0" fontId="20" fillId="0" borderId="10" xfId="44" applyFont="1" applyBorder="1"/>
    <xf numFmtId="1" fontId="24" fillId="0" borderId="0" xfId="43" applyNumberFormat="1" applyFont="1" applyAlignment="1">
      <alignment horizontal="center" vertical="center"/>
    </xf>
    <xf numFmtId="0" fontId="1" fillId="0" borderId="0" xfId="44" applyAlignment="1">
      <alignment horizontal="center"/>
    </xf>
    <xf numFmtId="0" fontId="20" fillId="0" borderId="0" xfId="43" applyFont="1" applyAlignment="1">
      <alignment horizontal="center"/>
    </xf>
    <xf numFmtId="164" fontId="20" fillId="0" borderId="12" xfId="42" applyNumberFormat="1" applyFont="1" applyFill="1" applyBorder="1"/>
    <xf numFmtId="0" fontId="26" fillId="0" borderId="10" xfId="44" applyFont="1" applyBorder="1" applyAlignment="1">
      <alignment vertical="center"/>
    </xf>
    <xf numFmtId="0" fontId="26" fillId="0" borderId="10" xfId="44" applyFont="1" applyBorder="1" applyAlignment="1">
      <alignment vertical="center" wrapText="1"/>
    </xf>
    <xf numFmtId="164" fontId="16" fillId="34" borderId="23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0" fillId="35" borderId="0" xfId="0" applyFill="1"/>
    <xf numFmtId="165" fontId="0" fillId="35" borderId="0" xfId="0" applyNumberFormat="1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164" fontId="0" fillId="35" borderId="0" xfId="42" applyNumberFormat="1" applyFont="1" applyFill="1" applyBorder="1"/>
    <xf numFmtId="44" fontId="0" fillId="35" borderId="0" xfId="42" applyFont="1" applyFill="1" applyBorder="1"/>
    <xf numFmtId="1" fontId="20" fillId="0" borderId="10" xfId="43" applyNumberFormat="1" applyFont="1" applyBorder="1" applyAlignment="1">
      <alignment horizontal="right" vertical="center"/>
    </xf>
    <xf numFmtId="0" fontId="20" fillId="0" borderId="10" xfId="43" applyFont="1" applyBorder="1" applyAlignment="1">
      <alignment horizontal="center" vertical="center"/>
    </xf>
    <xf numFmtId="44" fontId="0" fillId="0" borderId="0" xfId="42" applyFont="1" applyBorder="1"/>
    <xf numFmtId="0" fontId="0" fillId="38" borderId="10" xfId="0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/>
    </xf>
    <xf numFmtId="0" fontId="0" fillId="38" borderId="10" xfId="0" applyFill="1" applyBorder="1"/>
    <xf numFmtId="165" fontId="0" fillId="38" borderId="10" xfId="0" applyNumberFormat="1" applyFill="1" applyBorder="1" applyAlignment="1">
      <alignment horizontal="center" vertical="center"/>
    </xf>
    <xf numFmtId="164" fontId="0" fillId="38" borderId="10" xfId="42" applyNumberFormat="1" applyFont="1" applyFill="1" applyBorder="1"/>
    <xf numFmtId="44" fontId="0" fillId="38" borderId="10" xfId="42" applyFont="1" applyFill="1" applyBorder="1"/>
    <xf numFmtId="166" fontId="0" fillId="0" borderId="10" xfId="0" applyNumberForma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6" fillId="0" borderId="0" xfId="0" applyFont="1" applyAlignment="1">
      <alignment horizontal="left"/>
    </xf>
    <xf numFmtId="165" fontId="16" fillId="0" borderId="0" xfId="0" applyNumberFormat="1" applyFont="1" applyAlignment="1">
      <alignment horizontal="left"/>
    </xf>
    <xf numFmtId="0" fontId="16" fillId="35" borderId="0" xfId="0" applyFont="1" applyFill="1" applyAlignment="1">
      <alignment horizontal="left"/>
    </xf>
    <xf numFmtId="2" fontId="0" fillId="39" borderId="10" xfId="0" applyNumberFormat="1" applyFill="1" applyBorder="1" applyAlignment="1">
      <alignment horizontal="center"/>
    </xf>
    <xf numFmtId="165" fontId="0" fillId="39" borderId="10" xfId="0" applyNumberFormat="1" applyFill="1" applyBorder="1" applyAlignment="1">
      <alignment horizontal="center"/>
    </xf>
    <xf numFmtId="44" fontId="16" fillId="0" borderId="0" xfId="0" applyNumberFormat="1" applyFont="1" applyAlignment="1">
      <alignment horizontal="left"/>
    </xf>
    <xf numFmtId="0" fontId="0" fillId="40" borderId="10" xfId="0" applyFill="1" applyBorder="1" applyAlignment="1">
      <alignment horizontal="center"/>
    </xf>
    <xf numFmtId="0" fontId="0" fillId="40" borderId="10" xfId="0" quotePrefix="1" applyFill="1" applyBorder="1" applyAlignment="1">
      <alignment horizontal="center"/>
    </xf>
    <xf numFmtId="0" fontId="0" fillId="0" borderId="10" xfId="0" applyBorder="1" applyAlignment="1">
      <alignment horizontal="left"/>
    </xf>
    <xf numFmtId="164" fontId="14" fillId="0" borderId="0" xfId="0" applyNumberFormat="1" applyFont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right" vertical="center"/>
    </xf>
    <xf numFmtId="1" fontId="0" fillId="34" borderId="10" xfId="0" applyNumberFormat="1" applyFill="1" applyBorder="1" applyAlignment="1">
      <alignment horizontal="center"/>
    </xf>
    <xf numFmtId="1" fontId="0" fillId="34" borderId="0" xfId="0" applyNumberFormat="1" applyFill="1"/>
    <xf numFmtId="165" fontId="14" fillId="0" borderId="10" xfId="0" applyNumberFormat="1" applyFont="1" applyBorder="1" applyAlignment="1">
      <alignment horizontal="center" vertical="center"/>
    </xf>
    <xf numFmtId="0" fontId="0" fillId="36" borderId="10" xfId="0" applyFill="1" applyBorder="1"/>
    <xf numFmtId="1" fontId="0" fillId="36" borderId="10" xfId="0" applyNumberForma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164" fontId="0" fillId="36" borderId="12" xfId="42" applyNumberFormat="1" applyFont="1" applyFill="1" applyBorder="1"/>
    <xf numFmtId="44" fontId="0" fillId="36" borderId="10" xfId="42" applyFont="1" applyFill="1" applyBorder="1"/>
    <xf numFmtId="164" fontId="14" fillId="0" borderId="12" xfId="42" applyNumberFormat="1" applyFont="1" applyBorder="1"/>
    <xf numFmtId="164" fontId="14" fillId="0" borderId="10" xfId="42" applyNumberFormat="1" applyFont="1" applyFill="1" applyBorder="1"/>
    <xf numFmtId="2" fontId="0" fillId="0" borderId="10" xfId="0" applyNumberFormat="1" applyBorder="1" applyAlignment="1">
      <alignment horizontal="center"/>
    </xf>
    <xf numFmtId="0" fontId="0" fillId="0" borderId="10" xfId="44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7" fillId="0" borderId="0" xfId="0" applyFont="1"/>
    <xf numFmtId="0" fontId="0" fillId="34" borderId="10" xfId="0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/>
    </xf>
    <xf numFmtId="0" fontId="0" fillId="34" borderId="10" xfId="0" applyFill="1" applyBorder="1"/>
    <xf numFmtId="166" fontId="0" fillId="34" borderId="0" xfId="0" applyNumberForma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164" fontId="0" fillId="34" borderId="0" xfId="42" applyNumberFormat="1" applyFont="1" applyFill="1" applyBorder="1"/>
    <xf numFmtId="44" fontId="0" fillId="34" borderId="0" xfId="42" applyFont="1" applyFill="1" applyBorder="1"/>
    <xf numFmtId="0" fontId="0" fillId="0" borderId="10" xfId="0" applyBorder="1" applyAlignment="1">
      <alignment horizontal="left" wrapText="1"/>
    </xf>
    <xf numFmtId="1" fontId="20" fillId="34" borderId="10" xfId="43" applyNumberFormat="1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left"/>
    </xf>
    <xf numFmtId="0" fontId="16" fillId="38" borderId="10" xfId="0" applyFont="1" applyFill="1" applyBorder="1" applyAlignment="1">
      <alignment horizontal="left"/>
    </xf>
    <xf numFmtId="0" fontId="0" fillId="35" borderId="10" xfId="0" applyFill="1" applyBorder="1" applyAlignment="1">
      <alignment horizontal="left"/>
    </xf>
    <xf numFmtId="0" fontId="0" fillId="40" borderId="10" xfId="0" applyFill="1" applyBorder="1" applyAlignment="1">
      <alignment horizontal="left"/>
    </xf>
    <xf numFmtId="0" fontId="0" fillId="40" borderId="10" xfId="0" quotePrefix="1" applyFill="1" applyBorder="1" applyAlignment="1">
      <alignment horizontal="left"/>
    </xf>
    <xf numFmtId="0" fontId="0" fillId="35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Protection="1">
      <protection locked="0"/>
    </xf>
    <xf numFmtId="164" fontId="0" fillId="0" borderId="12" xfId="42" applyNumberFormat="1" applyFont="1" applyBorder="1" applyProtection="1">
      <protection locked="0"/>
    </xf>
    <xf numFmtId="164" fontId="0" fillId="0" borderId="12" xfId="42" applyNumberFormat="1" applyFont="1" applyFill="1" applyBorder="1" applyProtection="1">
      <protection locked="0"/>
    </xf>
    <xf numFmtId="164" fontId="20" fillId="0" borderId="12" xfId="42" applyNumberFormat="1" applyFont="1" applyFill="1" applyBorder="1" applyProtection="1">
      <protection locked="0"/>
    </xf>
    <xf numFmtId="164" fontId="0" fillId="0" borderId="10" xfId="42" applyNumberFormat="1" applyFont="1" applyBorder="1" applyProtection="1">
      <protection locked="0"/>
    </xf>
    <xf numFmtId="44" fontId="0" fillId="0" borderId="25" xfId="42" applyFont="1" applyBorder="1" applyProtection="1">
      <protection locked="0"/>
    </xf>
    <xf numFmtId="44" fontId="0" fillId="0" borderId="24" xfId="42" applyFont="1" applyBorder="1" applyProtection="1">
      <protection locked="0"/>
    </xf>
    <xf numFmtId="44" fontId="20" fillId="0" borderId="10" xfId="45" applyFont="1" applyBorder="1" applyProtection="1">
      <protection locked="0"/>
    </xf>
    <xf numFmtId="44" fontId="0" fillId="0" borderId="0" xfId="42" applyFont="1" applyProtection="1">
      <protection locked="0"/>
    </xf>
    <xf numFmtId="0" fontId="18" fillId="0" borderId="0" xfId="0" applyFont="1" applyAlignment="1">
      <alignment horizontal="center"/>
    </xf>
    <xf numFmtId="0" fontId="28" fillId="0" borderId="14" xfId="0" applyFont="1" applyBorder="1"/>
    <xf numFmtId="44" fontId="13" fillId="33" borderId="13" xfId="42" applyFont="1" applyFill="1" applyBorder="1" applyAlignment="1" applyProtection="1">
      <alignment horizontal="center"/>
    </xf>
    <xf numFmtId="164" fontId="0" fillId="35" borderId="0" xfId="42" applyNumberFormat="1" applyFont="1" applyFill="1" applyBorder="1" applyProtection="1"/>
    <xf numFmtId="44" fontId="0" fillId="35" borderId="0" xfId="42" applyFont="1" applyFill="1" applyBorder="1" applyProtection="1"/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6" fillId="37" borderId="25" xfId="0" applyFont="1" applyFill="1" applyBorder="1" applyAlignment="1">
      <alignment horizontal="center"/>
    </xf>
    <xf numFmtId="165" fontId="0" fillId="0" borderId="25" xfId="0" applyNumberFormat="1" applyBorder="1" applyAlignment="1">
      <alignment horizontal="center" vertical="center"/>
    </xf>
    <xf numFmtId="164" fontId="0" fillId="0" borderId="25" xfId="42" applyNumberFormat="1" applyFont="1" applyFill="1" applyBorder="1" applyProtection="1"/>
    <xf numFmtId="44" fontId="0" fillId="0" borderId="25" xfId="42" applyFont="1" applyFill="1" applyBorder="1" applyProtection="1"/>
    <xf numFmtId="0" fontId="0" fillId="34" borderId="28" xfId="0" applyFill="1" applyBorder="1" applyAlignment="1">
      <alignment horizontal="center" vertical="center"/>
    </xf>
    <xf numFmtId="0" fontId="0" fillId="34" borderId="31" xfId="0" applyFill="1" applyBorder="1" applyAlignment="1">
      <alignment horizontal="center"/>
    </xf>
    <xf numFmtId="0" fontId="16" fillId="34" borderId="31" xfId="0" applyFont="1" applyFill="1" applyBorder="1" applyAlignment="1">
      <alignment horizontal="center"/>
    </xf>
    <xf numFmtId="165" fontId="0" fillId="34" borderId="31" xfId="0" applyNumberFormat="1" applyFill="1" applyBorder="1" applyAlignment="1">
      <alignment horizontal="center" vertical="center"/>
    </xf>
    <xf numFmtId="0" fontId="0" fillId="34" borderId="31" xfId="0" applyFill="1" applyBorder="1" applyAlignment="1">
      <alignment horizontal="center" vertical="center"/>
    </xf>
    <xf numFmtId="164" fontId="0" fillId="34" borderId="31" xfId="42" applyNumberFormat="1" applyFont="1" applyFill="1" applyBorder="1" applyProtection="1"/>
    <xf numFmtId="44" fontId="0" fillId="34" borderId="29" xfId="42" applyFont="1" applyFill="1" applyBorder="1" applyProtection="1"/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7" xfId="0" applyBorder="1"/>
    <xf numFmtId="165" fontId="0" fillId="0" borderId="27" xfId="0" applyNumberFormat="1" applyBorder="1" applyAlignment="1">
      <alignment horizontal="center" vertical="center"/>
    </xf>
    <xf numFmtId="44" fontId="0" fillId="0" borderId="27" xfId="42" applyFont="1" applyFill="1" applyBorder="1" applyProtection="1"/>
    <xf numFmtId="0" fontId="0" fillId="0" borderId="10" xfId="0" applyBorder="1" applyAlignment="1">
      <alignment wrapText="1"/>
    </xf>
    <xf numFmtId="164" fontId="16" fillId="0" borderId="10" xfId="42" applyNumberFormat="1" applyFont="1" applyFill="1" applyBorder="1" applyAlignment="1" applyProtection="1">
      <alignment horizontal="right"/>
    </xf>
    <xf numFmtId="0" fontId="0" fillId="0" borderId="25" xfId="0" applyBorder="1"/>
    <xf numFmtId="0" fontId="0" fillId="34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4" fontId="0" fillId="0" borderId="0" xfId="42" applyFont="1" applyProtection="1"/>
    <xf numFmtId="164" fontId="0" fillId="0" borderId="27" xfId="42" applyNumberFormat="1" applyFont="1" applyFill="1" applyBorder="1" applyProtection="1">
      <protection locked="0"/>
    </xf>
    <xf numFmtId="164" fontId="0" fillId="0" borderId="10" xfId="42" applyNumberFormat="1" applyFont="1" applyFill="1" applyBorder="1" applyProtection="1">
      <protection locked="0"/>
    </xf>
    <xf numFmtId="44" fontId="0" fillId="0" borderId="10" xfId="42" applyFont="1" applyFill="1" applyBorder="1" applyProtection="1">
      <protection locked="0"/>
    </xf>
    <xf numFmtId="44" fontId="0" fillId="0" borderId="25" xfId="42" applyFont="1" applyFill="1" applyBorder="1" applyProtection="1">
      <protection locked="0"/>
    </xf>
    <xf numFmtId="44" fontId="0" fillId="0" borderId="24" xfId="42" applyFont="1" applyFill="1" applyBorder="1" applyProtection="1">
      <protection locked="0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17" fontId="18" fillId="0" borderId="18" xfId="0" quotePrefix="1" applyNumberFormat="1" applyFont="1" applyBorder="1" applyAlignment="1">
      <alignment horizontal="center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8" xfId="0" quotePrefix="1" applyFont="1" applyBorder="1" applyAlignment="1">
      <alignment horizontal="center"/>
    </xf>
    <xf numFmtId="0" fontId="18" fillId="0" borderId="0" xfId="0" applyFont="1" applyAlignment="1">
      <alignment horizontal="left"/>
    </xf>
    <xf numFmtId="44" fontId="1" fillId="0" borderId="16" xfId="42" applyFont="1" applyBorder="1" applyAlignment="1">
      <alignment horizontal="right" vertical="center"/>
    </xf>
    <xf numFmtId="44" fontId="1" fillId="0" borderId="37" xfId="42" applyFont="1" applyBorder="1" applyAlignment="1">
      <alignment horizontal="right" vertical="center"/>
    </xf>
    <xf numFmtId="44" fontId="1" fillId="0" borderId="17" xfId="42" applyFont="1" applyBorder="1" applyAlignment="1">
      <alignment horizontal="right" vertic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44" fontId="1" fillId="0" borderId="36" xfId="42" applyFont="1" applyBorder="1" applyAlignment="1">
      <alignment horizontal="right" vertical="center"/>
    </xf>
    <xf numFmtId="44" fontId="1" fillId="0" borderId="35" xfId="42" applyFont="1" applyBorder="1" applyAlignment="1">
      <alignment horizontal="right" vertical="center"/>
    </xf>
    <xf numFmtId="44" fontId="1" fillId="0" borderId="38" xfId="42" applyFont="1" applyBorder="1" applyAlignment="1">
      <alignment horizontal="right" vertical="center"/>
    </xf>
    <xf numFmtId="0" fontId="16" fillId="0" borderId="0" xfId="0" applyFont="1" applyAlignment="1">
      <alignment horizontal="right"/>
    </xf>
    <xf numFmtId="44" fontId="16" fillId="0" borderId="10" xfId="42" applyFont="1" applyBorder="1" applyAlignment="1">
      <alignment horizontal="right" vertical="center"/>
    </xf>
    <xf numFmtId="44" fontId="16" fillId="0" borderId="12" xfId="42" applyFont="1" applyBorder="1" applyAlignment="1">
      <alignment horizontal="right" vertical="center"/>
    </xf>
    <xf numFmtId="0" fontId="28" fillId="0" borderId="14" xfId="0" applyFont="1" applyBorder="1" applyAlignment="1">
      <alignment horizontal="center" wrapText="1"/>
    </xf>
    <xf numFmtId="0" fontId="28" fillId="0" borderId="35" xfId="0" applyFont="1" applyBorder="1" applyAlignment="1">
      <alignment horizontal="center" wrapText="1"/>
    </xf>
    <xf numFmtId="44" fontId="16" fillId="0" borderId="33" xfId="42" applyFont="1" applyBorder="1" applyAlignment="1" applyProtection="1">
      <alignment horizontal="right" vertical="center"/>
    </xf>
    <xf numFmtId="44" fontId="16" fillId="0" borderId="14" xfId="42" applyFont="1" applyBorder="1" applyAlignment="1" applyProtection="1">
      <alignment horizontal="right" vertical="center"/>
    </xf>
    <xf numFmtId="44" fontId="16" fillId="0" borderId="10" xfId="42" applyFont="1" applyBorder="1" applyAlignment="1" applyProtection="1">
      <alignment horizontal="right" vertical="center"/>
    </xf>
    <xf numFmtId="44" fontId="16" fillId="0" borderId="25" xfId="42" applyFont="1" applyBorder="1" applyAlignment="1" applyProtection="1">
      <alignment horizontal="right" vertical="center"/>
    </xf>
    <xf numFmtId="164" fontId="16" fillId="0" borderId="12" xfId="42" applyNumberFormat="1" applyFont="1" applyFill="1" applyBorder="1" applyAlignment="1" applyProtection="1">
      <alignment horizontal="right"/>
    </xf>
    <xf numFmtId="164" fontId="16" fillId="0" borderId="34" xfId="42" applyNumberFormat="1" applyFont="1" applyFill="1" applyBorder="1" applyAlignment="1" applyProtection="1">
      <alignment horizontal="right"/>
    </xf>
    <xf numFmtId="44" fontId="16" fillId="0" borderId="12" xfId="42" applyFont="1" applyBorder="1" applyAlignment="1" applyProtection="1">
      <alignment horizontal="right" vertical="center"/>
    </xf>
    <xf numFmtId="44" fontId="16" fillId="0" borderId="39" xfId="42" applyFont="1" applyBorder="1" applyAlignment="1" applyProtection="1">
      <alignment horizontal="right" vertical="center"/>
    </xf>
    <xf numFmtId="1" fontId="0" fillId="34" borderId="25" xfId="0" applyNumberFormat="1" applyFill="1" applyBorder="1" applyAlignment="1">
      <alignment horizontal="center"/>
    </xf>
    <xf numFmtId="1" fontId="0" fillId="34" borderId="27" xfId="0" applyNumberForma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34" borderId="26" xfId="0" applyNumberForma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34" borderId="25" xfId="0" applyNumberFormat="1" applyFill="1" applyBorder="1" applyAlignment="1">
      <alignment horizontal="center" vertical="center"/>
    </xf>
    <xf numFmtId="1" fontId="0" fillId="34" borderId="26" xfId="0" applyNumberFormat="1" applyFill="1" applyBorder="1" applyAlignment="1">
      <alignment horizontal="center" vertical="center"/>
    </xf>
    <xf numFmtId="1" fontId="0" fillId="34" borderId="27" xfId="0" applyNumberFormat="1" applyFill="1" applyBorder="1" applyAlignment="1">
      <alignment horizontal="center" vertical="center"/>
    </xf>
    <xf numFmtId="0" fontId="0" fillId="0" borderId="24" xfId="0" applyBorder="1" applyProtection="1">
      <protection locked="0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Currency 2" xfId="45" xr:uid="{5CA124DD-12ED-4890-8E79-A8D4D063EE22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E4B683A-0295-4EF9-A8CD-2BAEE6A2241B}"/>
    <cellStyle name="Normal 2 2" xfId="44" xr:uid="{B243832F-C2C4-492F-BB17-C9965ED1A05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5F5E-8B64-428E-A64C-D82455BD657D}">
  <sheetPr>
    <pageSetUpPr fitToPage="1"/>
  </sheetPr>
  <dimension ref="A1:J106"/>
  <sheetViews>
    <sheetView view="pageBreakPreview" topLeftCell="A92" zoomScale="85" zoomScaleNormal="80" zoomScaleSheetLayoutView="85" workbookViewId="0">
      <selection activeCell="A4" sqref="A4:B4"/>
    </sheetView>
  </sheetViews>
  <sheetFormatPr defaultRowHeight="15" x14ac:dyDescent="0.25"/>
  <cols>
    <col min="1" max="1" width="20.7109375" customWidth="1"/>
    <col min="2" max="2" width="95.85546875" customWidth="1"/>
    <col min="5" max="5" width="12.42578125" customWidth="1"/>
  </cols>
  <sheetData>
    <row r="1" spans="1:10" ht="18.75" x14ac:dyDescent="0.3">
      <c r="A1" s="188" t="s">
        <v>11</v>
      </c>
      <c r="B1" s="189"/>
    </row>
    <row r="2" spans="1:10" ht="18.75" customHeight="1" x14ac:dyDescent="0.3">
      <c r="A2" s="186" t="s">
        <v>13</v>
      </c>
      <c r="B2" s="187"/>
    </row>
    <row r="3" spans="1:10" ht="18.75" x14ac:dyDescent="0.3">
      <c r="A3" s="186" t="e">
        <f>'ITS AND SIGNALS'!#REF!</f>
        <v>#REF!</v>
      </c>
      <c r="B3" s="187"/>
    </row>
    <row r="4" spans="1:10" ht="18.75" x14ac:dyDescent="0.3">
      <c r="A4" s="186" t="s">
        <v>5</v>
      </c>
      <c r="B4" s="187"/>
    </row>
    <row r="5" spans="1:10" ht="18.75" x14ac:dyDescent="0.3">
      <c r="A5" s="190" t="s">
        <v>364</v>
      </c>
      <c r="B5" s="187"/>
    </row>
    <row r="6" spans="1:10" x14ac:dyDescent="0.25">
      <c r="A6" s="52"/>
      <c r="B6" s="53" t="s">
        <v>7</v>
      </c>
    </row>
    <row r="7" spans="1:10" x14ac:dyDescent="0.25">
      <c r="A7" s="54" t="s">
        <v>112</v>
      </c>
      <c r="B7" s="55">
        <f>SUM('ITS AND SIGNALS'!F7:F40)</f>
        <v>0</v>
      </c>
    </row>
    <row r="8" spans="1:10" s="2" customFormat="1" x14ac:dyDescent="0.25">
      <c r="A8" s="56" t="s">
        <v>113</v>
      </c>
      <c r="B8" s="57">
        <f>SUM('ITS AND SIGNALS'!F42:F61)</f>
        <v>0</v>
      </c>
    </row>
    <row r="9" spans="1:10" s="2" customFormat="1" x14ac:dyDescent="0.25">
      <c r="A9" s="56" t="s">
        <v>114</v>
      </c>
      <c r="B9" s="58">
        <f>SUM('ITS AND SIGNALS'!F63:F109)</f>
        <v>0</v>
      </c>
    </row>
    <row r="10" spans="1:10" s="2" customFormat="1" x14ac:dyDescent="0.25">
      <c r="A10" s="56" t="s">
        <v>115</v>
      </c>
      <c r="B10" s="58"/>
    </row>
    <row r="11" spans="1:10" s="2" customFormat="1" x14ac:dyDescent="0.25">
      <c r="A11" s="56" t="s">
        <v>116</v>
      </c>
      <c r="B11" s="58"/>
    </row>
    <row r="12" spans="1:10" ht="30" customHeight="1" x14ac:dyDescent="0.25">
      <c r="A12" s="59" t="s">
        <v>362</v>
      </c>
      <c r="B12" s="58"/>
    </row>
    <row r="13" spans="1:10" s="2" customFormat="1" ht="15.75" thickBot="1" x14ac:dyDescent="0.3">
      <c r="A13" s="60" t="s">
        <v>118</v>
      </c>
      <c r="B13" s="61">
        <f>SUM(B7:B12)</f>
        <v>0</v>
      </c>
      <c r="C13"/>
      <c r="D13"/>
      <c r="E13"/>
      <c r="F13"/>
      <c r="G13"/>
      <c r="H13"/>
      <c r="I13"/>
      <c r="J13"/>
    </row>
    <row r="14" spans="1:10" s="2" customFormat="1" ht="15.75" thickTop="1" x14ac:dyDescent="0.25">
      <c r="A14" s="56" t="s">
        <v>263</v>
      </c>
      <c r="B14" s="58">
        <f>0.1*B13</f>
        <v>0</v>
      </c>
      <c r="C14"/>
      <c r="D14"/>
      <c r="E14"/>
      <c r="F14"/>
      <c r="G14"/>
      <c r="H14"/>
      <c r="I14"/>
      <c r="J14"/>
    </row>
    <row r="15" spans="1:10" x14ac:dyDescent="0.25">
      <c r="A15" s="56"/>
      <c r="B15" s="55"/>
    </row>
    <row r="16" spans="1:10" ht="15.75" thickBot="1" x14ac:dyDescent="0.3">
      <c r="A16" s="62" t="s">
        <v>119</v>
      </c>
      <c r="B16" s="79">
        <f>SUM(B13:B14)</f>
        <v>0</v>
      </c>
    </row>
    <row r="17" spans="1:5" x14ac:dyDescent="0.25">
      <c r="A17" s="4" t="s">
        <v>121</v>
      </c>
      <c r="B17" s="80" t="e">
        <f>'ITS AND SIGNALS'!#REF!</f>
        <v>#REF!</v>
      </c>
    </row>
    <row r="18" spans="1:5" ht="15.75" thickBot="1" x14ac:dyDescent="0.3">
      <c r="A18" s="64"/>
      <c r="B18" s="64"/>
    </row>
    <row r="19" spans="1:5" ht="18.75" x14ac:dyDescent="0.3">
      <c r="A19" s="188" t="s">
        <v>11</v>
      </c>
      <c r="B19" s="189"/>
    </row>
    <row r="20" spans="1:5" ht="18.75" x14ac:dyDescent="0.3">
      <c r="A20" s="186" t="s">
        <v>13</v>
      </c>
      <c r="B20" s="187"/>
    </row>
    <row r="21" spans="1:5" ht="38.25" customHeight="1" x14ac:dyDescent="0.3">
      <c r="A21" s="191" t="str">
        <f>'6096560'!A3</f>
        <v>27TH STREET E FROM 31ST AVE E TO 26TH AVE E ROADWAY IMPROVEMENTS</v>
      </c>
      <c r="B21" s="192"/>
    </row>
    <row r="22" spans="1:5" ht="18.75" x14ac:dyDescent="0.3">
      <c r="A22" s="191" t="s">
        <v>5</v>
      </c>
      <c r="B22" s="192"/>
    </row>
    <row r="23" spans="1:5" ht="18.75" x14ac:dyDescent="0.3">
      <c r="A23" s="190" t="s">
        <v>364</v>
      </c>
      <c r="B23" s="187"/>
    </row>
    <row r="24" spans="1:5" x14ac:dyDescent="0.25">
      <c r="A24" s="52"/>
      <c r="B24" s="53" t="s">
        <v>7</v>
      </c>
    </row>
    <row r="25" spans="1:5" x14ac:dyDescent="0.25">
      <c r="A25" s="54" t="s">
        <v>112</v>
      </c>
      <c r="B25" s="55">
        <f>SUM('6096560'!F7:F43)</f>
        <v>0</v>
      </c>
      <c r="E25" s="40">
        <f>B34+B16</f>
        <v>0</v>
      </c>
    </row>
    <row r="26" spans="1:5" x14ac:dyDescent="0.25">
      <c r="A26" s="56" t="s">
        <v>113</v>
      </c>
      <c r="B26" s="57">
        <f>SUM('6096560'!F46:F77)</f>
        <v>0</v>
      </c>
    </row>
    <row r="27" spans="1:5" x14ac:dyDescent="0.25">
      <c r="A27" s="56" t="s">
        <v>114</v>
      </c>
      <c r="B27" s="58">
        <v>0</v>
      </c>
    </row>
    <row r="28" spans="1:5" x14ac:dyDescent="0.25">
      <c r="A28" s="56" t="s">
        <v>115</v>
      </c>
      <c r="B28" s="58">
        <f>SUM('6096560'!F78:F125)</f>
        <v>0</v>
      </c>
    </row>
    <row r="29" spans="1:5" x14ac:dyDescent="0.25">
      <c r="A29" s="56" t="s">
        <v>116</v>
      </c>
      <c r="B29" s="58">
        <f>SUM('6096560'!F127:F138)</f>
        <v>0</v>
      </c>
    </row>
    <row r="30" spans="1:5" ht="30" customHeight="1" x14ac:dyDescent="0.25">
      <c r="A30" s="59" t="s">
        <v>363</v>
      </c>
      <c r="B30" s="58">
        <f>0.1*B25</f>
        <v>0</v>
      </c>
    </row>
    <row r="31" spans="1:5" ht="15.75" thickBot="1" x14ac:dyDescent="0.3">
      <c r="A31" s="60" t="s">
        <v>118</v>
      </c>
      <c r="B31" s="61">
        <f>'6096560'!F139</f>
        <v>0</v>
      </c>
    </row>
    <row r="32" spans="1:5" ht="15.75" thickTop="1" x14ac:dyDescent="0.25">
      <c r="A32" s="56" t="s">
        <v>263</v>
      </c>
      <c r="B32" s="58">
        <f>0.1*B31</f>
        <v>0</v>
      </c>
    </row>
    <row r="33" spans="1:2" x14ac:dyDescent="0.25">
      <c r="A33" s="56"/>
      <c r="B33" s="55"/>
    </row>
    <row r="34" spans="1:2" ht="15.75" thickBot="1" x14ac:dyDescent="0.3">
      <c r="A34" s="62" t="s">
        <v>119</v>
      </c>
      <c r="B34" s="79">
        <f>SUM(B31:B32)</f>
        <v>0</v>
      </c>
    </row>
    <row r="35" spans="1:2" x14ac:dyDescent="0.25">
      <c r="A35" s="4" t="s">
        <v>121</v>
      </c>
      <c r="B35" s="80">
        <f>'6096560'!F142</f>
        <v>0</v>
      </c>
    </row>
    <row r="36" spans="1:2" ht="15.75" thickBot="1" x14ac:dyDescent="0.3">
      <c r="A36" s="64"/>
      <c r="B36" s="64"/>
    </row>
    <row r="37" spans="1:2" ht="18.75" x14ac:dyDescent="0.3">
      <c r="A37" s="188" t="s">
        <v>11</v>
      </c>
      <c r="B37" s="189"/>
    </row>
    <row r="38" spans="1:2" ht="18.75" x14ac:dyDescent="0.3">
      <c r="A38" s="186" t="s">
        <v>13</v>
      </c>
      <c r="B38" s="187"/>
    </row>
    <row r="39" spans="1:2" ht="18.75" x14ac:dyDescent="0.3">
      <c r="A39" s="186" t="e">
        <f>#REF!</f>
        <v>#REF!</v>
      </c>
      <c r="B39" s="187"/>
    </row>
    <row r="40" spans="1:2" ht="18.75" x14ac:dyDescent="0.3">
      <c r="A40" s="186" t="s">
        <v>5</v>
      </c>
      <c r="B40" s="187"/>
    </row>
    <row r="41" spans="1:2" ht="18.75" x14ac:dyDescent="0.3">
      <c r="A41" s="186" t="s">
        <v>328</v>
      </c>
      <c r="B41" s="187"/>
    </row>
    <row r="42" spans="1:2" x14ac:dyDescent="0.25">
      <c r="A42" s="52"/>
      <c r="B42" s="53" t="s">
        <v>7</v>
      </c>
    </row>
    <row r="43" spans="1:2" x14ac:dyDescent="0.25">
      <c r="A43" s="54" t="s">
        <v>112</v>
      </c>
      <c r="B43" s="55" t="e">
        <f>SUM(#REF!)</f>
        <v>#REF!</v>
      </c>
    </row>
    <row r="44" spans="1:2" x14ac:dyDescent="0.25">
      <c r="A44" s="56" t="s">
        <v>113</v>
      </c>
      <c r="B44" s="57" t="e">
        <f>SUM(#REF!)</f>
        <v>#REF!</v>
      </c>
    </row>
    <row r="45" spans="1:2" x14ac:dyDescent="0.25">
      <c r="A45" s="56" t="s">
        <v>114</v>
      </c>
      <c r="B45" s="58">
        <v>0</v>
      </c>
    </row>
    <row r="46" spans="1:2" x14ac:dyDescent="0.25">
      <c r="A46" s="56" t="s">
        <v>115</v>
      </c>
      <c r="B46" s="58" t="e">
        <f>SUM(#REF!)</f>
        <v>#REF!</v>
      </c>
    </row>
    <row r="47" spans="1:2" x14ac:dyDescent="0.25">
      <c r="A47" s="56" t="s">
        <v>116</v>
      </c>
      <c r="B47" s="58">
        <v>0</v>
      </c>
    </row>
    <row r="48" spans="1:2" ht="30" x14ac:dyDescent="0.25">
      <c r="A48" s="59" t="s">
        <v>117</v>
      </c>
      <c r="B48" s="58" t="e">
        <f>0.1*B43</f>
        <v>#REF!</v>
      </c>
    </row>
    <row r="49" spans="1:2" ht="15.75" thickBot="1" x14ac:dyDescent="0.3">
      <c r="A49" s="60" t="s">
        <v>118</v>
      </c>
      <c r="B49" s="61" t="e">
        <f>SUM(B43:B48)</f>
        <v>#REF!</v>
      </c>
    </row>
    <row r="50" spans="1:2" ht="15.75" thickTop="1" x14ac:dyDescent="0.25">
      <c r="A50" s="56" t="s">
        <v>263</v>
      </c>
      <c r="B50" s="55" t="e">
        <f>B49*0.1</f>
        <v>#REF!</v>
      </c>
    </row>
    <row r="51" spans="1:2" ht="15.75" thickBot="1" x14ac:dyDescent="0.3">
      <c r="A51" s="62" t="s">
        <v>119</v>
      </c>
      <c r="B51" s="63" t="e">
        <f>SUM(B49:B50)</f>
        <v>#REF!</v>
      </c>
    </row>
    <row r="52" spans="1:2" x14ac:dyDescent="0.25">
      <c r="A52" s="4" t="s">
        <v>121</v>
      </c>
      <c r="B52" s="80" t="e">
        <f>#REF!</f>
        <v>#REF!</v>
      </c>
    </row>
    <row r="53" spans="1:2" ht="15.75" thickBot="1" x14ac:dyDescent="0.3">
      <c r="A53" s="64"/>
      <c r="B53" s="64"/>
    </row>
    <row r="54" spans="1:2" ht="18.75" x14ac:dyDescent="0.3">
      <c r="A54" s="188" t="s">
        <v>11</v>
      </c>
      <c r="B54" s="189"/>
    </row>
    <row r="55" spans="1:2" ht="18.75" x14ac:dyDescent="0.3">
      <c r="A55" s="186" t="s">
        <v>13</v>
      </c>
      <c r="B55" s="187"/>
    </row>
    <row r="56" spans="1:2" ht="18.75" x14ac:dyDescent="0.3">
      <c r="A56" s="186" t="e">
        <f>#REF!</f>
        <v>#REF!</v>
      </c>
      <c r="B56" s="187"/>
    </row>
    <row r="57" spans="1:2" ht="18.75" x14ac:dyDescent="0.3">
      <c r="A57" s="186" t="s">
        <v>5</v>
      </c>
      <c r="B57" s="187"/>
    </row>
    <row r="58" spans="1:2" ht="18.75" x14ac:dyDescent="0.3">
      <c r="A58" s="186" t="s">
        <v>328</v>
      </c>
      <c r="B58" s="187"/>
    </row>
    <row r="59" spans="1:2" x14ac:dyDescent="0.25">
      <c r="A59" s="52"/>
      <c r="B59" s="53" t="s">
        <v>7</v>
      </c>
    </row>
    <row r="60" spans="1:2" x14ac:dyDescent="0.25">
      <c r="A60" s="54" t="s">
        <v>112</v>
      </c>
      <c r="B60" s="55" t="e">
        <f>SUM(#REF!)</f>
        <v>#REF!</v>
      </c>
    </row>
    <row r="61" spans="1:2" x14ac:dyDescent="0.25">
      <c r="A61" s="56" t="s">
        <v>113</v>
      </c>
      <c r="B61" s="57" t="e">
        <f>SUM(#REF!)</f>
        <v>#REF!</v>
      </c>
    </row>
    <row r="62" spans="1:2" x14ac:dyDescent="0.25">
      <c r="A62" s="56" t="s">
        <v>114</v>
      </c>
      <c r="B62" s="58">
        <v>0</v>
      </c>
    </row>
    <row r="63" spans="1:2" x14ac:dyDescent="0.25">
      <c r="A63" s="56" t="s">
        <v>115</v>
      </c>
      <c r="B63" s="58" t="e">
        <f>SUM(#REF!)</f>
        <v>#REF!</v>
      </c>
    </row>
    <row r="64" spans="1:2" x14ac:dyDescent="0.25">
      <c r="A64" s="56" t="s">
        <v>116</v>
      </c>
      <c r="B64" s="58">
        <v>0</v>
      </c>
    </row>
    <row r="65" spans="1:2" ht="30" x14ac:dyDescent="0.25">
      <c r="A65" s="59" t="s">
        <v>117</v>
      </c>
      <c r="B65" s="58" t="e">
        <f>0.1*B60</f>
        <v>#REF!</v>
      </c>
    </row>
    <row r="66" spans="1:2" ht="15.75" thickBot="1" x14ac:dyDescent="0.3">
      <c r="A66" s="60" t="s">
        <v>118</v>
      </c>
      <c r="B66" s="61" t="e">
        <f>SUM(B60:B65)</f>
        <v>#REF!</v>
      </c>
    </row>
    <row r="67" spans="1:2" ht="15.75" thickTop="1" x14ac:dyDescent="0.25">
      <c r="A67" s="56" t="s">
        <v>263</v>
      </c>
      <c r="B67" s="55" t="e">
        <f>0.1*B66</f>
        <v>#REF!</v>
      </c>
    </row>
    <row r="68" spans="1:2" ht="15.75" thickBot="1" x14ac:dyDescent="0.3">
      <c r="A68" s="62" t="s">
        <v>119</v>
      </c>
      <c r="B68" s="63" t="e">
        <f>SUM(B66:B67)</f>
        <v>#REF!</v>
      </c>
    </row>
    <row r="69" spans="1:2" x14ac:dyDescent="0.25">
      <c r="A69" s="4" t="s">
        <v>121</v>
      </c>
      <c r="B69" s="80" t="e">
        <f>#REF!</f>
        <v>#REF!</v>
      </c>
    </row>
    <row r="70" spans="1:2" ht="15.75" thickBot="1" x14ac:dyDescent="0.3">
      <c r="A70" s="64"/>
      <c r="B70" s="64"/>
    </row>
    <row r="71" spans="1:2" ht="18.75" x14ac:dyDescent="0.3">
      <c r="A71" s="188" t="s">
        <v>11</v>
      </c>
      <c r="B71" s="189"/>
    </row>
    <row r="72" spans="1:2" ht="18.75" x14ac:dyDescent="0.3">
      <c r="A72" s="186" t="s">
        <v>13</v>
      </c>
      <c r="B72" s="187"/>
    </row>
    <row r="73" spans="1:2" ht="18.75" x14ac:dyDescent="0.3">
      <c r="A73" s="186" t="e">
        <f>#REF!</f>
        <v>#REF!</v>
      </c>
      <c r="B73" s="187"/>
    </row>
    <row r="74" spans="1:2" ht="18.75" x14ac:dyDescent="0.3">
      <c r="A74" s="186" t="s">
        <v>5</v>
      </c>
      <c r="B74" s="187"/>
    </row>
    <row r="75" spans="1:2" ht="18.75" x14ac:dyDescent="0.3">
      <c r="A75" s="186" t="s">
        <v>328</v>
      </c>
      <c r="B75" s="187"/>
    </row>
    <row r="76" spans="1:2" x14ac:dyDescent="0.25">
      <c r="A76" s="52"/>
      <c r="B76" s="53" t="s">
        <v>7</v>
      </c>
    </row>
    <row r="77" spans="1:2" x14ac:dyDescent="0.25">
      <c r="A77" s="54" t="s">
        <v>112</v>
      </c>
      <c r="B77" s="55" t="e">
        <f>SUM(#REF!)</f>
        <v>#REF!</v>
      </c>
    </row>
    <row r="78" spans="1:2" x14ac:dyDescent="0.25">
      <c r="A78" s="56" t="s">
        <v>113</v>
      </c>
      <c r="B78" s="57" t="e">
        <f>SUM(#REF!)</f>
        <v>#REF!</v>
      </c>
    </row>
    <row r="79" spans="1:2" x14ac:dyDescent="0.25">
      <c r="A79" s="56" t="s">
        <v>114</v>
      </c>
      <c r="B79" s="58">
        <v>0</v>
      </c>
    </row>
    <row r="80" spans="1:2" x14ac:dyDescent="0.25">
      <c r="A80" s="56" t="s">
        <v>115</v>
      </c>
      <c r="B80" s="58" t="e">
        <f>SUM(#REF!)</f>
        <v>#REF!</v>
      </c>
    </row>
    <row r="81" spans="1:2" x14ac:dyDescent="0.25">
      <c r="A81" s="56" t="s">
        <v>116</v>
      </c>
      <c r="B81" s="58">
        <v>0</v>
      </c>
    </row>
    <row r="82" spans="1:2" ht="30" x14ac:dyDescent="0.25">
      <c r="A82" s="59" t="s">
        <v>117</v>
      </c>
      <c r="B82" s="58">
        <v>0</v>
      </c>
    </row>
    <row r="83" spans="1:2" ht="15.75" thickBot="1" x14ac:dyDescent="0.3">
      <c r="A83" s="60" t="s">
        <v>118</v>
      </c>
      <c r="B83" s="61" t="e">
        <f>SUM(B77:B82)</f>
        <v>#REF!</v>
      </c>
    </row>
    <row r="84" spans="1:2" ht="15.75" thickTop="1" x14ac:dyDescent="0.25">
      <c r="A84" s="56" t="s">
        <v>263</v>
      </c>
      <c r="B84" s="55" t="e">
        <f>0.1*B83</f>
        <v>#REF!</v>
      </c>
    </row>
    <row r="85" spans="1:2" ht="15.75" thickBot="1" x14ac:dyDescent="0.3">
      <c r="A85" s="62" t="s">
        <v>119</v>
      </c>
      <c r="B85" s="63" t="e">
        <f>SUM(B83:B84)</f>
        <v>#REF!</v>
      </c>
    </row>
    <row r="86" spans="1:2" x14ac:dyDescent="0.25">
      <c r="A86" s="4" t="s">
        <v>121</v>
      </c>
      <c r="B86" s="80" t="e">
        <f>#REF!</f>
        <v>#REF!</v>
      </c>
    </row>
    <row r="87" spans="1:2" ht="15.75" thickBot="1" x14ac:dyDescent="0.3">
      <c r="A87" s="64"/>
      <c r="B87" s="64"/>
    </row>
    <row r="88" spans="1:2" ht="18.75" x14ac:dyDescent="0.3">
      <c r="A88" s="188" t="s">
        <v>11</v>
      </c>
      <c r="B88" s="189"/>
    </row>
    <row r="89" spans="1:2" ht="18.75" x14ac:dyDescent="0.3">
      <c r="A89" s="186" t="s">
        <v>327</v>
      </c>
      <c r="B89" s="187"/>
    </row>
    <row r="90" spans="1:2" ht="37.5" customHeight="1" x14ac:dyDescent="0.3">
      <c r="A90" s="191" t="e">
        <f>'6096570 &amp; 6096580'!#REF!</f>
        <v>#REF!</v>
      </c>
      <c r="B90" s="192"/>
    </row>
    <row r="91" spans="1:2" ht="18.75" x14ac:dyDescent="0.3">
      <c r="A91" s="186" t="s">
        <v>5</v>
      </c>
      <c r="B91" s="187"/>
    </row>
    <row r="92" spans="1:2" ht="18.75" x14ac:dyDescent="0.3">
      <c r="A92" s="193" t="s">
        <v>364</v>
      </c>
      <c r="B92" s="187"/>
    </row>
    <row r="93" spans="1:2" x14ac:dyDescent="0.25">
      <c r="A93" s="52"/>
      <c r="B93" s="53" t="s">
        <v>7</v>
      </c>
    </row>
    <row r="94" spans="1:2" x14ac:dyDescent="0.25">
      <c r="A94" s="54" t="s">
        <v>322</v>
      </c>
      <c r="B94" s="55">
        <f>'6096570 &amp; 6096580'!G19</f>
        <v>0</v>
      </c>
    </row>
    <row r="95" spans="1:2" x14ac:dyDescent="0.25">
      <c r="A95" s="56" t="s">
        <v>323</v>
      </c>
      <c r="B95" s="57">
        <f>'6096570 &amp; 6096580'!G29</f>
        <v>0</v>
      </c>
    </row>
    <row r="96" spans="1:2" ht="15.75" thickBot="1" x14ac:dyDescent="0.3">
      <c r="A96" s="60" t="s">
        <v>118</v>
      </c>
      <c r="B96" s="61">
        <f>SUM(B94:B95)</f>
        <v>0</v>
      </c>
    </row>
    <row r="97" spans="1:5" ht="15.75" thickTop="1" x14ac:dyDescent="0.25">
      <c r="A97" s="56" t="s">
        <v>263</v>
      </c>
      <c r="B97" s="55">
        <f>0.1*B96</f>
        <v>0</v>
      </c>
    </row>
    <row r="98" spans="1:5" ht="15.75" thickBot="1" x14ac:dyDescent="0.3">
      <c r="A98" s="62" t="s">
        <v>119</v>
      </c>
      <c r="B98" s="63">
        <f>SUM(B96:B97)</f>
        <v>0</v>
      </c>
    </row>
    <row r="99" spans="1:5" x14ac:dyDescent="0.25">
      <c r="A99" s="4" t="s">
        <v>121</v>
      </c>
      <c r="B99" s="80"/>
    </row>
    <row r="105" spans="1:5" x14ac:dyDescent="0.25">
      <c r="B105" s="40" t="e">
        <f>B16+B34+B51+B68+B85+B98</f>
        <v>#REF!</v>
      </c>
      <c r="C105" t="s">
        <v>119</v>
      </c>
      <c r="E105" s="40" t="e">
        <f>'ITS AND SIGNALS'!#REF!+'6096560'!F141+#REF!+#REF!+#REF!+'6096570 &amp; 6096580'!G21+'6096570 &amp; 6096580'!G31</f>
        <v>#REF!</v>
      </c>
    </row>
    <row r="106" spans="1:5" x14ac:dyDescent="0.25">
      <c r="B106" s="40" t="e">
        <f>B17+B35+B52+B69+B86</f>
        <v>#REF!</v>
      </c>
      <c r="C106" t="s">
        <v>121</v>
      </c>
    </row>
  </sheetData>
  <mergeCells count="30">
    <mergeCell ref="A88:B88"/>
    <mergeCell ref="A89:B89"/>
    <mergeCell ref="A90:B90"/>
    <mergeCell ref="A91:B91"/>
    <mergeCell ref="A92:B92"/>
    <mergeCell ref="A1:B1"/>
    <mergeCell ref="A2:B2"/>
    <mergeCell ref="A3:B3"/>
    <mergeCell ref="A4:B4"/>
    <mergeCell ref="A54:B54"/>
    <mergeCell ref="A5:B5"/>
    <mergeCell ref="A19:B19"/>
    <mergeCell ref="A20:B20"/>
    <mergeCell ref="A21:B21"/>
    <mergeCell ref="A22:B22"/>
    <mergeCell ref="A23:B23"/>
    <mergeCell ref="A37:B37"/>
    <mergeCell ref="A38:B38"/>
    <mergeCell ref="A39:B39"/>
    <mergeCell ref="A40:B40"/>
    <mergeCell ref="A41:B41"/>
    <mergeCell ref="A73:B73"/>
    <mergeCell ref="A74:B74"/>
    <mergeCell ref="A75:B75"/>
    <mergeCell ref="A55:B55"/>
    <mergeCell ref="A56:B56"/>
    <mergeCell ref="A57:B57"/>
    <mergeCell ref="A58:B58"/>
    <mergeCell ref="A71:B71"/>
    <mergeCell ref="A72:B72"/>
  </mergeCells>
  <pageMargins left="0.25" right="0.25" top="0.75" bottom="0.75" header="0.3" footer="0.3"/>
  <pageSetup scale="87" fitToHeight="0" orientation="portrait" r:id="rId1"/>
  <rowBreaks count="3" manualBreakCount="3">
    <brk id="35" max="1" man="1"/>
    <brk id="69" max="1" man="1"/>
    <brk id="86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14D7-97BC-432F-A68A-CC9B8AE8B8A7}">
  <sheetPr>
    <tabColor theme="5" tint="0.39997558519241921"/>
  </sheetPr>
  <dimension ref="A1:K9"/>
  <sheetViews>
    <sheetView tabSelected="1" zoomScaleNormal="100" workbookViewId="0">
      <selection activeCell="G6" sqref="G6"/>
    </sheetView>
  </sheetViews>
  <sheetFormatPr defaultRowHeight="15" x14ac:dyDescent="0.25"/>
  <cols>
    <col min="6" max="6" width="12.85546875" customWidth="1"/>
    <col min="7" max="7" width="14.5703125" customWidth="1"/>
  </cols>
  <sheetData>
    <row r="1" spans="1:11" ht="18.75" x14ac:dyDescent="0.3">
      <c r="A1" s="194" t="s">
        <v>435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8.75" x14ac:dyDescent="0.3">
      <c r="A2" s="194" t="s">
        <v>413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18.75" x14ac:dyDescent="0.3">
      <c r="A3" s="194" t="s">
        <v>414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ht="19.5" thickBot="1" x14ac:dyDescent="0.35">
      <c r="A4" s="194" t="s">
        <v>429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1" ht="20.100000000000001" customHeight="1" thickBot="1" x14ac:dyDescent="0.3">
      <c r="A5" s="201" t="s">
        <v>431</v>
      </c>
      <c r="B5" s="202"/>
      <c r="C5" s="202"/>
      <c r="D5" s="202"/>
      <c r="E5" s="202"/>
      <c r="F5" s="203"/>
      <c r="G5" s="226"/>
    </row>
    <row r="6" spans="1:11" ht="20.100000000000001" customHeight="1" thickBot="1" x14ac:dyDescent="0.3">
      <c r="A6" s="201" t="s">
        <v>432</v>
      </c>
      <c r="B6" s="202"/>
      <c r="C6" s="202"/>
      <c r="D6" s="202"/>
      <c r="E6" s="202"/>
      <c r="F6" s="203"/>
      <c r="G6" s="226"/>
    </row>
    <row r="7" spans="1:11" ht="20.100000000000001" customHeight="1" thickBot="1" x14ac:dyDescent="0.3">
      <c r="A7" s="201" t="s">
        <v>430</v>
      </c>
      <c r="B7" s="202"/>
      <c r="C7" s="202"/>
      <c r="D7" s="202"/>
      <c r="E7" s="202"/>
      <c r="F7" s="203"/>
      <c r="G7" s="226"/>
    </row>
    <row r="8" spans="1:11" ht="20.100000000000001" customHeight="1" thickBot="1" x14ac:dyDescent="0.3">
      <c r="A8" s="195" t="s">
        <v>433</v>
      </c>
      <c r="B8" s="196"/>
      <c r="C8" s="196"/>
      <c r="D8" s="196"/>
      <c r="E8" s="196"/>
      <c r="F8" s="197"/>
      <c r="G8" s="226"/>
    </row>
    <row r="9" spans="1:11" ht="20.100000000000001" customHeight="1" thickBot="1" x14ac:dyDescent="0.3">
      <c r="A9" s="198" t="s">
        <v>434</v>
      </c>
      <c r="B9" s="199"/>
      <c r="C9" s="199"/>
      <c r="D9" s="199"/>
      <c r="E9" s="199"/>
      <c r="F9" s="200"/>
      <c r="G9" s="226"/>
    </row>
  </sheetData>
  <sheetProtection algorithmName="SHA-512" hashValue="/EowrFY0GpYqIbm+kSirsRuqAyjBSRo43CW58sY5SNsfBT4QidWC/da3Y//sFmWr2GtVGCueNgUamTFwMxPQ4A==" saltValue="vSl8BjX0WPu0DUgjIVS4rQ==" spinCount="100000" sheet="1" objects="1" scenarios="1" selectLockedCells="1"/>
  <mergeCells count="9">
    <mergeCell ref="A1:K1"/>
    <mergeCell ref="A4:K4"/>
    <mergeCell ref="A3:K3"/>
    <mergeCell ref="A8:F8"/>
    <mergeCell ref="A9:F9"/>
    <mergeCell ref="A5:F5"/>
    <mergeCell ref="A6:F6"/>
    <mergeCell ref="A7:F7"/>
    <mergeCell ref="A2:K2"/>
  </mergeCells>
  <phoneticPr fontId="21" type="noConversion"/>
  <pageMargins left="0.7" right="0.7" top="0.75" bottom="0.75" header="0.3" footer="0.3"/>
  <pageSetup orientation="landscape" r:id="rId1"/>
  <headerFooter>
    <oddFooter>&amp;L&amp;D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8F02-658C-4BD1-A20C-68A0A51EBF2D}">
  <sheetPr>
    <tabColor rgb="FFFFFF00"/>
    <pageSetUpPr fitToPage="1"/>
  </sheetPr>
  <dimension ref="A1:H149"/>
  <sheetViews>
    <sheetView zoomScaleNormal="100" zoomScaleSheetLayoutView="80"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E7" sqref="E7"/>
    </sheetView>
  </sheetViews>
  <sheetFormatPr defaultRowHeight="15" x14ac:dyDescent="0.25"/>
  <cols>
    <col min="1" max="1" width="17.5703125" style="139" customWidth="1"/>
    <col min="2" max="2" width="98.5703125" bestFit="1" customWidth="1"/>
    <col min="3" max="3" width="9.85546875" style="2" customWidth="1"/>
    <col min="4" max="4" width="6.42578125" style="3" bestFit="1" customWidth="1"/>
    <col min="5" max="5" width="18.42578125" style="1" customWidth="1"/>
    <col min="6" max="6" width="17.7109375" style="1" customWidth="1"/>
    <col min="7" max="7" width="7" customWidth="1"/>
  </cols>
  <sheetData>
    <row r="1" spans="1:6" ht="18.75" x14ac:dyDescent="0.3">
      <c r="A1" s="194" t="s">
        <v>435</v>
      </c>
      <c r="B1" s="194"/>
      <c r="C1" s="194"/>
      <c r="D1" s="194"/>
      <c r="E1" s="194"/>
      <c r="F1" s="194"/>
    </row>
    <row r="2" spans="1:6" ht="18.75" x14ac:dyDescent="0.3">
      <c r="A2" s="194" t="s">
        <v>413</v>
      </c>
      <c r="B2" s="194"/>
      <c r="C2" s="194"/>
      <c r="D2" s="194"/>
      <c r="E2" s="194"/>
      <c r="F2" s="194"/>
    </row>
    <row r="3" spans="1:6" ht="18.75" x14ac:dyDescent="0.3">
      <c r="A3" s="194" t="s">
        <v>414</v>
      </c>
      <c r="B3" s="194"/>
      <c r="C3" s="194"/>
      <c r="D3" s="194"/>
      <c r="E3" s="194"/>
      <c r="F3" s="194"/>
    </row>
    <row r="4" spans="1:6" ht="18.75" x14ac:dyDescent="0.3">
      <c r="A4" s="194" t="s">
        <v>416</v>
      </c>
      <c r="B4" s="194"/>
      <c r="C4" s="194"/>
      <c r="D4" s="194"/>
      <c r="E4" s="194"/>
      <c r="F4" s="194"/>
    </row>
    <row r="5" spans="1:6" ht="16.5" thickBot="1" x14ac:dyDescent="0.3">
      <c r="A5" s="207" t="s">
        <v>421</v>
      </c>
      <c r="B5" s="207"/>
      <c r="C5" s="207"/>
      <c r="D5" s="207"/>
      <c r="E5" s="207"/>
      <c r="F5" s="207"/>
    </row>
    <row r="6" spans="1:6" x14ac:dyDescent="0.25">
      <c r="A6" s="133" t="s">
        <v>8</v>
      </c>
      <c r="B6" s="24" t="s">
        <v>9</v>
      </c>
      <c r="C6" s="10" t="s">
        <v>4</v>
      </c>
      <c r="D6" s="10" t="s">
        <v>0</v>
      </c>
      <c r="E6" s="25" t="s">
        <v>6</v>
      </c>
      <c r="F6" s="25" t="s">
        <v>7</v>
      </c>
    </row>
    <row r="7" spans="1:6" x14ac:dyDescent="0.25">
      <c r="A7" s="105" t="s">
        <v>310</v>
      </c>
      <c r="B7" s="105" t="s">
        <v>311</v>
      </c>
      <c r="C7" s="27">
        <v>1</v>
      </c>
      <c r="D7" s="16" t="s">
        <v>66</v>
      </c>
      <c r="E7" s="142"/>
      <c r="F7" s="18">
        <f>SUM(C7*E7)</f>
        <v>0</v>
      </c>
    </row>
    <row r="8" spans="1:6" x14ac:dyDescent="0.25">
      <c r="A8" s="105" t="s">
        <v>18</v>
      </c>
      <c r="B8" s="105" t="s">
        <v>19</v>
      </c>
      <c r="C8" s="21">
        <v>1</v>
      </c>
      <c r="D8" s="21" t="str">
        <f>Roadway_total!E7</f>
        <v>LS</v>
      </c>
      <c r="E8" s="142"/>
      <c r="F8" s="18">
        <f t="shared" ref="F8:F43" si="0">SUM(C8*E8)</f>
        <v>0</v>
      </c>
    </row>
    <row r="9" spans="1:6" x14ac:dyDescent="0.25">
      <c r="A9" s="105" t="s">
        <v>20</v>
      </c>
      <c r="B9" s="105" t="s">
        <v>21</v>
      </c>
      <c r="C9" s="120">
        <v>4.28</v>
      </c>
      <c r="D9" s="21" t="str">
        <f>Roadway_total!E8</f>
        <v>AC</v>
      </c>
      <c r="E9" s="142"/>
      <c r="F9" s="18">
        <f t="shared" si="0"/>
        <v>0</v>
      </c>
    </row>
    <row r="10" spans="1:6" x14ac:dyDescent="0.25">
      <c r="A10" s="105" t="s">
        <v>23</v>
      </c>
      <c r="B10" s="105" t="s">
        <v>24</v>
      </c>
      <c r="C10" s="21">
        <v>1425</v>
      </c>
      <c r="D10" s="21" t="str">
        <f>Roadway_total!E9</f>
        <v>SY</v>
      </c>
      <c r="E10" s="142"/>
      <c r="F10" s="18">
        <f t="shared" si="0"/>
        <v>0</v>
      </c>
    </row>
    <row r="11" spans="1:6" x14ac:dyDescent="0.25">
      <c r="A11" s="105" t="s">
        <v>313</v>
      </c>
      <c r="B11" s="105" t="s">
        <v>314</v>
      </c>
      <c r="C11" s="21">
        <v>1</v>
      </c>
      <c r="D11" s="21" t="s">
        <v>12</v>
      </c>
      <c r="E11" s="142"/>
      <c r="F11" s="18">
        <f t="shared" si="0"/>
        <v>0</v>
      </c>
    </row>
    <row r="12" spans="1:6" x14ac:dyDescent="0.25">
      <c r="A12" s="105" t="s">
        <v>25</v>
      </c>
      <c r="B12" s="105" t="s">
        <v>26</v>
      </c>
      <c r="C12" s="47">
        <v>3493.2</v>
      </c>
      <c r="D12" s="21" t="str">
        <f>Roadway_total!E11</f>
        <v>CY</v>
      </c>
      <c r="E12" s="142"/>
      <c r="F12" s="18">
        <f t="shared" si="0"/>
        <v>0</v>
      </c>
    </row>
    <row r="13" spans="1:6" x14ac:dyDescent="0.25">
      <c r="A13" s="105" t="s">
        <v>27</v>
      </c>
      <c r="B13" s="105" t="s">
        <v>28</v>
      </c>
      <c r="C13" s="21">
        <v>7683.7</v>
      </c>
      <c r="D13" s="21" t="str">
        <f>Roadway_total!E12</f>
        <v>CY</v>
      </c>
      <c r="E13" s="142"/>
      <c r="F13" s="18">
        <f t="shared" si="0"/>
        <v>0</v>
      </c>
    </row>
    <row r="14" spans="1:6" x14ac:dyDescent="0.25">
      <c r="A14" s="105" t="s">
        <v>29</v>
      </c>
      <c r="B14" s="105" t="s">
        <v>30</v>
      </c>
      <c r="C14" s="47">
        <v>2550.6999999999998</v>
      </c>
      <c r="D14" s="21" t="str">
        <f>Roadway_total!E13</f>
        <v>CY</v>
      </c>
      <c r="E14" s="142"/>
      <c r="F14" s="18">
        <f t="shared" si="0"/>
        <v>0</v>
      </c>
    </row>
    <row r="15" spans="1:6" x14ac:dyDescent="0.25">
      <c r="A15" s="105" t="s">
        <v>31</v>
      </c>
      <c r="B15" s="105" t="s">
        <v>32</v>
      </c>
      <c r="C15" s="21">
        <v>6344</v>
      </c>
      <c r="D15" s="21" t="str">
        <f>Roadway_total!E14</f>
        <v>SY</v>
      </c>
      <c r="E15" s="142"/>
      <c r="F15" s="18">
        <f t="shared" si="0"/>
        <v>0</v>
      </c>
    </row>
    <row r="16" spans="1:6" x14ac:dyDescent="0.25">
      <c r="A16" s="105">
        <v>285709</v>
      </c>
      <c r="B16" s="105" t="s">
        <v>33</v>
      </c>
      <c r="C16" s="21">
        <v>14083</v>
      </c>
      <c r="D16" s="21" t="str">
        <f>Roadway_total!E15</f>
        <v>SY</v>
      </c>
      <c r="E16" s="142"/>
      <c r="F16" s="18">
        <f t="shared" si="0"/>
        <v>0</v>
      </c>
    </row>
    <row r="17" spans="1:6" x14ac:dyDescent="0.25">
      <c r="A17" s="105">
        <v>285701</v>
      </c>
      <c r="B17" s="105" t="s">
        <v>34</v>
      </c>
      <c r="C17" s="21">
        <v>574</v>
      </c>
      <c r="D17" s="21" t="str">
        <f>Roadway_total!E16</f>
        <v>SY</v>
      </c>
      <c r="E17" s="142"/>
      <c r="F17" s="18">
        <f t="shared" si="0"/>
        <v>0</v>
      </c>
    </row>
    <row r="18" spans="1:6" x14ac:dyDescent="0.25">
      <c r="A18" s="105" t="s">
        <v>110</v>
      </c>
      <c r="B18" s="105" t="s">
        <v>111</v>
      </c>
      <c r="C18" s="21">
        <v>10098</v>
      </c>
      <c r="D18" s="21" t="str">
        <f>Roadway_total!E17</f>
        <v>SY</v>
      </c>
      <c r="E18" s="142"/>
      <c r="F18" s="18">
        <f t="shared" si="0"/>
        <v>0</v>
      </c>
    </row>
    <row r="19" spans="1:6" x14ac:dyDescent="0.25">
      <c r="A19" s="122" t="s">
        <v>302</v>
      </c>
      <c r="B19" s="122" t="s">
        <v>303</v>
      </c>
      <c r="C19" s="107">
        <v>0</v>
      </c>
      <c r="D19" s="19" t="s">
        <v>2</v>
      </c>
      <c r="E19" s="142"/>
      <c r="F19" s="18">
        <f t="shared" si="0"/>
        <v>0</v>
      </c>
    </row>
    <row r="20" spans="1:6" x14ac:dyDescent="0.25">
      <c r="A20" s="105" t="s">
        <v>35</v>
      </c>
      <c r="B20" s="105" t="s">
        <v>106</v>
      </c>
      <c r="C20" s="21">
        <v>1098.3</v>
      </c>
      <c r="D20" s="21" t="str">
        <f>Roadway_total!E19</f>
        <v>TN</v>
      </c>
      <c r="E20" s="142"/>
      <c r="F20" s="18">
        <f t="shared" si="0"/>
        <v>0</v>
      </c>
    </row>
    <row r="21" spans="1:6" x14ac:dyDescent="0.25">
      <c r="A21" s="105" t="s">
        <v>35</v>
      </c>
      <c r="B21" s="105" t="s">
        <v>107</v>
      </c>
      <c r="C21" s="21">
        <v>1478.5</v>
      </c>
      <c r="D21" s="21" t="str">
        <f>Roadway_total!E20</f>
        <v>TN</v>
      </c>
      <c r="E21" s="142"/>
      <c r="F21" s="18">
        <f t="shared" si="0"/>
        <v>0</v>
      </c>
    </row>
    <row r="22" spans="1:6" x14ac:dyDescent="0.25">
      <c r="A22" s="105" t="s">
        <v>35</v>
      </c>
      <c r="B22" s="105" t="s">
        <v>108</v>
      </c>
      <c r="C22" s="21">
        <v>997.28</v>
      </c>
      <c r="D22" s="21" t="str">
        <f>Roadway_total!E21</f>
        <v>TN</v>
      </c>
      <c r="E22" s="142"/>
      <c r="F22" s="18">
        <f t="shared" si="0"/>
        <v>0</v>
      </c>
    </row>
    <row r="23" spans="1:6" x14ac:dyDescent="0.25">
      <c r="A23" s="105" t="s">
        <v>35</v>
      </c>
      <c r="B23" s="105" t="s">
        <v>109</v>
      </c>
      <c r="C23" s="47">
        <v>492.6</v>
      </c>
      <c r="D23" s="21" t="str">
        <f>Roadway_total!E22</f>
        <v>TN</v>
      </c>
      <c r="E23" s="142"/>
      <c r="F23" s="18">
        <f t="shared" si="0"/>
        <v>0</v>
      </c>
    </row>
    <row r="24" spans="1:6" hidden="1" x14ac:dyDescent="0.25">
      <c r="A24" s="105" t="s">
        <v>36</v>
      </c>
      <c r="B24" s="105" t="s">
        <v>37</v>
      </c>
      <c r="C24" s="44"/>
      <c r="D24" s="21" t="str">
        <f>Roadway_total!E23</f>
        <v>CY</v>
      </c>
      <c r="E24" s="142"/>
      <c r="F24" s="18">
        <f t="shared" si="0"/>
        <v>0</v>
      </c>
    </row>
    <row r="25" spans="1:6" hidden="1" x14ac:dyDescent="0.25">
      <c r="A25" s="105" t="s">
        <v>38</v>
      </c>
      <c r="B25" s="105" t="s">
        <v>39</v>
      </c>
      <c r="C25" s="44"/>
      <c r="D25" s="21" t="str">
        <f>Roadway_total!E24</f>
        <v>CY</v>
      </c>
      <c r="E25" s="142"/>
      <c r="F25" s="18">
        <f t="shared" si="0"/>
        <v>0</v>
      </c>
    </row>
    <row r="26" spans="1:6" hidden="1" x14ac:dyDescent="0.25">
      <c r="A26" s="105" t="s">
        <v>40</v>
      </c>
      <c r="B26" s="105" t="s">
        <v>41</v>
      </c>
      <c r="C26" s="46"/>
      <c r="D26" s="21" t="str">
        <f>Roadway_total!E25</f>
        <v>LB</v>
      </c>
      <c r="E26" s="142"/>
      <c r="F26" s="18">
        <f t="shared" si="0"/>
        <v>0</v>
      </c>
    </row>
    <row r="27" spans="1:6" hidden="1" x14ac:dyDescent="0.25">
      <c r="A27" s="105" t="s">
        <v>43</v>
      </c>
      <c r="B27" s="105" t="s">
        <v>44</v>
      </c>
      <c r="C27" s="46"/>
      <c r="D27" s="21"/>
      <c r="E27" s="142"/>
      <c r="F27" s="18">
        <f t="shared" si="0"/>
        <v>0</v>
      </c>
    </row>
    <row r="28" spans="1:6" hidden="1" x14ac:dyDescent="0.25">
      <c r="A28" s="105" t="s">
        <v>46</v>
      </c>
      <c r="B28" s="105" t="s">
        <v>47</v>
      </c>
      <c r="C28" s="21"/>
      <c r="D28" s="21" t="str">
        <f>Roadway_total!E27</f>
        <v>LF</v>
      </c>
      <c r="E28" s="142"/>
      <c r="F28" s="18">
        <f t="shared" si="0"/>
        <v>0</v>
      </c>
    </row>
    <row r="29" spans="1:6" x14ac:dyDescent="0.25">
      <c r="A29" s="105" t="s">
        <v>346</v>
      </c>
      <c r="B29" s="105" t="s">
        <v>347</v>
      </c>
      <c r="C29" s="21">
        <v>1167</v>
      </c>
      <c r="D29" s="21" t="s">
        <v>1</v>
      </c>
      <c r="E29" s="142"/>
      <c r="F29" s="18">
        <f t="shared" si="0"/>
        <v>0</v>
      </c>
    </row>
    <row r="30" spans="1:6" x14ac:dyDescent="0.25">
      <c r="A30" s="105" t="s">
        <v>48</v>
      </c>
      <c r="B30" s="105" t="s">
        <v>49</v>
      </c>
      <c r="C30" s="21">
        <v>3250</v>
      </c>
      <c r="D30" s="21" t="str">
        <f>Roadway_total!E28</f>
        <v>LF</v>
      </c>
      <c r="E30" s="142"/>
      <c r="F30" s="18">
        <f t="shared" si="0"/>
        <v>0</v>
      </c>
    </row>
    <row r="31" spans="1:6" hidden="1" x14ac:dyDescent="0.25">
      <c r="A31" s="105" t="s">
        <v>50</v>
      </c>
      <c r="B31" s="105" t="s">
        <v>51</v>
      </c>
      <c r="C31" s="21"/>
      <c r="D31" s="21" t="str">
        <f>Roadway_total!E29</f>
        <v>LF</v>
      </c>
      <c r="E31" s="142"/>
      <c r="F31" s="18">
        <f t="shared" si="0"/>
        <v>0</v>
      </c>
    </row>
    <row r="32" spans="1:6" hidden="1" x14ac:dyDescent="0.25">
      <c r="A32" s="105" t="s">
        <v>52</v>
      </c>
      <c r="B32" s="105" t="s">
        <v>53</v>
      </c>
      <c r="C32" s="21"/>
      <c r="D32" s="21" t="str">
        <f>Roadway_total!E30</f>
        <v>LF</v>
      </c>
      <c r="E32" s="142"/>
      <c r="F32" s="18">
        <f t="shared" si="0"/>
        <v>0</v>
      </c>
    </row>
    <row r="33" spans="1:6" x14ac:dyDescent="0.25">
      <c r="A33" s="105" t="s">
        <v>54</v>
      </c>
      <c r="B33" s="105" t="s">
        <v>55</v>
      </c>
      <c r="C33" s="21">
        <v>640</v>
      </c>
      <c r="D33" s="21" t="str">
        <f>Roadway_total!E31</f>
        <v>LF</v>
      </c>
      <c r="E33" s="142"/>
      <c r="F33" s="18">
        <f t="shared" si="0"/>
        <v>0</v>
      </c>
    </row>
    <row r="34" spans="1:6" x14ac:dyDescent="0.25">
      <c r="A34" s="105" t="s">
        <v>56</v>
      </c>
      <c r="B34" s="105" t="s">
        <v>57</v>
      </c>
      <c r="C34" s="21">
        <v>2237</v>
      </c>
      <c r="D34" s="21" t="str">
        <f>Roadway_total!E32</f>
        <v>SY</v>
      </c>
      <c r="E34" s="142"/>
      <c r="F34" s="18">
        <f t="shared" si="0"/>
        <v>0</v>
      </c>
    </row>
    <row r="35" spans="1:6" x14ac:dyDescent="0.25">
      <c r="A35" s="105" t="s">
        <v>58</v>
      </c>
      <c r="B35" s="105" t="s">
        <v>59</v>
      </c>
      <c r="C35" s="21">
        <v>49</v>
      </c>
      <c r="D35" s="21" t="str">
        <f>Roadway_total!E33</f>
        <v>SY</v>
      </c>
      <c r="E35" s="142"/>
      <c r="F35" s="18">
        <f t="shared" si="0"/>
        <v>0</v>
      </c>
    </row>
    <row r="36" spans="1:6" x14ac:dyDescent="0.25">
      <c r="A36" s="105" t="s">
        <v>60</v>
      </c>
      <c r="B36" s="105" t="s">
        <v>61</v>
      </c>
      <c r="C36" s="21">
        <v>205</v>
      </c>
      <c r="D36" s="21" t="str">
        <f>Roadway_total!E34</f>
        <v>SF</v>
      </c>
      <c r="E36" s="142"/>
      <c r="F36" s="18">
        <f t="shared" si="0"/>
        <v>0</v>
      </c>
    </row>
    <row r="37" spans="1:6" hidden="1" x14ac:dyDescent="0.25">
      <c r="A37" s="105" t="str">
        <f>Roadway_total!B35</f>
        <v>536 1 0</v>
      </c>
      <c r="B37" s="105" t="str">
        <f>Roadway_total!C35</f>
        <v>Guardrail - Roadway General/Low Speed TL-2</v>
      </c>
      <c r="C37" s="21"/>
      <c r="D37" s="21" t="str">
        <f>Roadway_total!E35</f>
        <v>LF</v>
      </c>
      <c r="E37" s="142"/>
      <c r="F37" s="18">
        <f t="shared" si="0"/>
        <v>0</v>
      </c>
    </row>
    <row r="38" spans="1:6" hidden="1" x14ac:dyDescent="0.25">
      <c r="A38" s="105" t="str">
        <f>Roadway_total!B36</f>
        <v>536 85 20</v>
      </c>
      <c r="B38" s="105" t="str">
        <f>Roadway_total!C36</f>
        <v>Guardrail End Treatment - Trailing Anchorage</v>
      </c>
      <c r="C38" s="21"/>
      <c r="D38" s="21" t="str">
        <f>Roadway_total!E36</f>
        <v>EA</v>
      </c>
      <c r="E38" s="142"/>
      <c r="F38" s="18">
        <f t="shared" si="0"/>
        <v>0</v>
      </c>
    </row>
    <row r="39" spans="1:6" hidden="1" x14ac:dyDescent="0.25">
      <c r="A39" s="105" t="str">
        <f>Roadway_total!B37</f>
        <v>536 85 24</v>
      </c>
      <c r="B39" s="105" t="str">
        <f>Roadway_total!C37</f>
        <v>Guardrail End Treatment - Parallel Approach Terminal</v>
      </c>
      <c r="C39" s="21"/>
      <c r="D39" s="21" t="str">
        <f>Roadway_total!E37</f>
        <v>EA</v>
      </c>
      <c r="E39" s="142"/>
      <c r="F39" s="18">
        <f t="shared" si="0"/>
        <v>0</v>
      </c>
    </row>
    <row r="40" spans="1:6" hidden="1" x14ac:dyDescent="0.25">
      <c r="A40" s="105" t="s">
        <v>298</v>
      </c>
      <c r="B40" s="105" t="s">
        <v>301</v>
      </c>
      <c r="C40" s="21"/>
      <c r="D40" s="21" t="s">
        <v>1</v>
      </c>
      <c r="E40" s="142"/>
      <c r="F40" s="18">
        <f t="shared" si="0"/>
        <v>0</v>
      </c>
    </row>
    <row r="41" spans="1:6" hidden="1" x14ac:dyDescent="0.25">
      <c r="A41" s="105" t="s">
        <v>299</v>
      </c>
      <c r="B41" s="105" t="s">
        <v>300</v>
      </c>
      <c r="C41" s="21"/>
      <c r="D41" s="21" t="s">
        <v>12</v>
      </c>
      <c r="E41" s="142"/>
      <c r="F41" s="18">
        <f t="shared" si="0"/>
        <v>0</v>
      </c>
    </row>
    <row r="42" spans="1:6" x14ac:dyDescent="0.25">
      <c r="A42" s="105" t="s">
        <v>62</v>
      </c>
      <c r="B42" s="105" t="s">
        <v>63</v>
      </c>
      <c r="C42" s="22">
        <v>4545.8</v>
      </c>
      <c r="D42" s="21" t="str">
        <f>Roadway_total!E40</f>
        <v>SY</v>
      </c>
      <c r="E42" s="142"/>
      <c r="F42" s="18">
        <f t="shared" si="0"/>
        <v>0</v>
      </c>
    </row>
    <row r="43" spans="1:6" x14ac:dyDescent="0.25">
      <c r="A43" s="105" t="s">
        <v>64</v>
      </c>
      <c r="B43" s="105" t="s">
        <v>65</v>
      </c>
      <c r="C43" s="21"/>
      <c r="D43" s="21" t="str">
        <f>Roadway_total!E41</f>
        <v>LS</v>
      </c>
      <c r="E43" s="142"/>
      <c r="F43" s="18">
        <f t="shared" si="0"/>
        <v>0</v>
      </c>
    </row>
    <row r="44" spans="1:6" x14ac:dyDescent="0.25">
      <c r="A44" s="134"/>
      <c r="B44" s="91"/>
      <c r="C44" s="92"/>
      <c r="D44" s="89"/>
      <c r="E44" s="93"/>
      <c r="F44" s="94"/>
    </row>
    <row r="45" spans="1:6" x14ac:dyDescent="0.25">
      <c r="A45" s="135"/>
      <c r="B45" s="32"/>
      <c r="C45" s="32"/>
      <c r="D45" s="32"/>
      <c r="E45" s="36"/>
      <c r="F45" s="37"/>
    </row>
    <row r="46" spans="1:6" x14ac:dyDescent="0.25">
      <c r="A46" s="105" t="s">
        <v>67</v>
      </c>
      <c r="B46" s="105" t="s">
        <v>68</v>
      </c>
      <c r="C46" s="21">
        <v>2.758</v>
      </c>
      <c r="D46" s="21" t="str">
        <f>Roadway_total!E43</f>
        <v>GM</v>
      </c>
      <c r="E46" s="143"/>
      <c r="F46" s="18">
        <f>SUM(C46*E46)</f>
        <v>0</v>
      </c>
    </row>
    <row r="47" spans="1:6" x14ac:dyDescent="0.25">
      <c r="A47" s="105" t="s">
        <v>70</v>
      </c>
      <c r="B47" s="105" t="s">
        <v>71</v>
      </c>
      <c r="C47" s="21">
        <v>655</v>
      </c>
      <c r="D47" s="21" t="str">
        <f>Roadway_total!E44</f>
        <v>LF</v>
      </c>
      <c r="E47" s="143"/>
      <c r="F47" s="18">
        <f t="shared" ref="F47:F76" si="1">SUM(C47*E47)</f>
        <v>0</v>
      </c>
    </row>
    <row r="48" spans="1:6" x14ac:dyDescent="0.25">
      <c r="A48" s="105" t="s">
        <v>72</v>
      </c>
      <c r="B48" s="105" t="s">
        <v>73</v>
      </c>
      <c r="C48" s="21">
        <v>504</v>
      </c>
      <c r="D48" s="21" t="str">
        <f>Roadway_total!E45</f>
        <v>LF</v>
      </c>
      <c r="E48" s="143"/>
      <c r="F48" s="18">
        <f t="shared" si="1"/>
        <v>0</v>
      </c>
    </row>
    <row r="49" spans="1:6" x14ac:dyDescent="0.25">
      <c r="A49" s="105" t="s">
        <v>74</v>
      </c>
      <c r="B49" s="105" t="s">
        <v>75</v>
      </c>
      <c r="C49" s="21">
        <v>656</v>
      </c>
      <c r="D49" s="21" t="str">
        <f>Roadway_total!E46</f>
        <v>LF</v>
      </c>
      <c r="E49" s="143"/>
      <c r="F49" s="18">
        <f t="shared" si="1"/>
        <v>0</v>
      </c>
    </row>
    <row r="50" spans="1:6" x14ac:dyDescent="0.25">
      <c r="A50" s="105" t="s">
        <v>76</v>
      </c>
      <c r="B50" s="105" t="s">
        <v>77</v>
      </c>
      <c r="C50" s="21">
        <v>0.16900000000000001</v>
      </c>
      <c r="D50" s="21" t="str">
        <f>Roadway_total!E47</f>
        <v>GM</v>
      </c>
      <c r="E50" s="143"/>
      <c r="F50" s="18">
        <f t="shared" si="1"/>
        <v>0</v>
      </c>
    </row>
    <row r="51" spans="1:6" x14ac:dyDescent="0.25">
      <c r="A51" s="105" t="s">
        <v>78</v>
      </c>
      <c r="B51" s="105" t="s">
        <v>79</v>
      </c>
      <c r="C51" s="21">
        <v>4</v>
      </c>
      <c r="D51" s="21" t="str">
        <f>Roadway_total!E48</f>
        <v>EA</v>
      </c>
      <c r="E51" s="143"/>
      <c r="F51" s="18">
        <f t="shared" si="1"/>
        <v>0</v>
      </c>
    </row>
    <row r="52" spans="1:6" x14ac:dyDescent="0.25">
      <c r="A52" s="105" t="s">
        <v>80</v>
      </c>
      <c r="B52" s="105" t="s">
        <v>81</v>
      </c>
      <c r="C52" s="21">
        <v>33</v>
      </c>
      <c r="D52" s="21" t="str">
        <f>Roadway_total!E49</f>
        <v>EA</v>
      </c>
      <c r="E52" s="143"/>
      <c r="F52" s="18">
        <f t="shared" si="1"/>
        <v>0</v>
      </c>
    </row>
    <row r="53" spans="1:6" x14ac:dyDescent="0.25">
      <c r="A53" s="105" t="s">
        <v>82</v>
      </c>
      <c r="B53" s="105" t="s">
        <v>83</v>
      </c>
      <c r="C53" s="21">
        <v>1.2</v>
      </c>
      <c r="D53" s="21" t="str">
        <f>Roadway_total!E50</f>
        <v>GM</v>
      </c>
      <c r="E53" s="143"/>
      <c r="F53" s="18">
        <f t="shared" si="1"/>
        <v>0</v>
      </c>
    </row>
    <row r="54" spans="1:6" x14ac:dyDescent="0.25">
      <c r="A54" s="105" t="s">
        <v>84</v>
      </c>
      <c r="B54" s="105" t="s">
        <v>85</v>
      </c>
      <c r="C54" s="21">
        <v>552</v>
      </c>
      <c r="D54" s="21" t="str">
        <f>Roadway_total!E51</f>
        <v>LF</v>
      </c>
      <c r="E54" s="143"/>
      <c r="F54" s="18">
        <f t="shared" si="1"/>
        <v>0</v>
      </c>
    </row>
    <row r="55" spans="1:6" hidden="1" x14ac:dyDescent="0.25">
      <c r="A55" s="105" t="s">
        <v>86</v>
      </c>
      <c r="B55" s="105" t="s">
        <v>87</v>
      </c>
      <c r="C55" s="21"/>
      <c r="D55" s="21" t="str">
        <f>Roadway_total!E52</f>
        <v>GM</v>
      </c>
      <c r="E55" s="143"/>
      <c r="F55" s="18">
        <f t="shared" si="1"/>
        <v>0</v>
      </c>
    </row>
    <row r="56" spans="1:6" x14ac:dyDescent="0.25">
      <c r="A56" s="105" t="s">
        <v>88</v>
      </c>
      <c r="B56" s="105" t="s">
        <v>89</v>
      </c>
      <c r="C56" s="21">
        <v>0.01</v>
      </c>
      <c r="D56" s="21" t="str">
        <f>Roadway_total!E53</f>
        <v>GM</v>
      </c>
      <c r="E56" s="143"/>
      <c r="F56" s="18">
        <f t="shared" si="1"/>
        <v>0</v>
      </c>
    </row>
    <row r="57" spans="1:6" x14ac:dyDescent="0.25">
      <c r="A57" s="105" t="s">
        <v>90</v>
      </c>
      <c r="B57" s="105" t="s">
        <v>91</v>
      </c>
      <c r="C57" s="21">
        <v>37</v>
      </c>
      <c r="D57" s="21" t="str">
        <f>Roadway_total!E54</f>
        <v>SF</v>
      </c>
      <c r="E57" s="143"/>
      <c r="F57" s="18">
        <f t="shared" si="1"/>
        <v>0</v>
      </c>
    </row>
    <row r="58" spans="1:6" hidden="1" x14ac:dyDescent="0.25">
      <c r="A58" s="105" t="s">
        <v>92</v>
      </c>
      <c r="B58" s="105" t="s">
        <v>93</v>
      </c>
      <c r="C58" s="21"/>
      <c r="D58" s="21" t="str">
        <f>Roadway_total!E55</f>
        <v>LS</v>
      </c>
      <c r="E58" s="143"/>
      <c r="F58" s="18">
        <f t="shared" si="1"/>
        <v>0</v>
      </c>
    </row>
    <row r="59" spans="1:6" x14ac:dyDescent="0.25">
      <c r="A59" s="105" t="s">
        <v>94</v>
      </c>
      <c r="B59" s="105" t="s">
        <v>95</v>
      </c>
      <c r="C59" s="21">
        <v>21</v>
      </c>
      <c r="D59" s="21" t="str">
        <f>Roadway_total!E56</f>
        <v>AS</v>
      </c>
      <c r="E59" s="143"/>
      <c r="F59" s="18">
        <f t="shared" si="1"/>
        <v>0</v>
      </c>
    </row>
    <row r="60" spans="1:6" x14ac:dyDescent="0.25">
      <c r="A60" s="105" t="s">
        <v>97</v>
      </c>
      <c r="B60" s="105" t="s">
        <v>98</v>
      </c>
      <c r="C60" s="21">
        <v>3</v>
      </c>
      <c r="D60" s="21" t="str">
        <f>Roadway_total!E57</f>
        <v>AS</v>
      </c>
      <c r="E60" s="143"/>
      <c r="F60" s="18">
        <f t="shared" si="1"/>
        <v>0</v>
      </c>
    </row>
    <row r="61" spans="1:6" x14ac:dyDescent="0.25">
      <c r="A61" s="105" t="s">
        <v>99</v>
      </c>
      <c r="B61" s="105" t="s">
        <v>100</v>
      </c>
      <c r="C61" s="21">
        <v>7</v>
      </c>
      <c r="D61" s="21" t="str">
        <f>Roadway_total!E58</f>
        <v>AS</v>
      </c>
      <c r="E61" s="143"/>
      <c r="F61" s="18">
        <f t="shared" si="1"/>
        <v>0</v>
      </c>
    </row>
    <row r="62" spans="1:6" x14ac:dyDescent="0.25">
      <c r="A62" s="105" t="s">
        <v>101</v>
      </c>
      <c r="B62" s="105" t="s">
        <v>102</v>
      </c>
      <c r="C62" s="21">
        <v>4</v>
      </c>
      <c r="D62" s="21" t="str">
        <f>Roadway_total!E59</f>
        <v>AS</v>
      </c>
      <c r="E62" s="143"/>
      <c r="F62" s="18">
        <f t="shared" si="1"/>
        <v>0</v>
      </c>
    </row>
    <row r="63" spans="1:6" x14ac:dyDescent="0.25">
      <c r="A63" s="122" t="s">
        <v>264</v>
      </c>
      <c r="B63" s="105" t="s">
        <v>103</v>
      </c>
      <c r="C63" s="21">
        <v>229</v>
      </c>
      <c r="D63" s="21" t="str">
        <f>Roadway_total!E60</f>
        <v>EA</v>
      </c>
      <c r="E63" s="143"/>
      <c r="F63" s="18">
        <f t="shared" si="1"/>
        <v>0</v>
      </c>
    </row>
    <row r="64" spans="1:6" x14ac:dyDescent="0.25">
      <c r="A64" s="122" t="s">
        <v>264</v>
      </c>
      <c r="B64" s="105" t="s">
        <v>104</v>
      </c>
      <c r="C64" s="21">
        <v>155</v>
      </c>
      <c r="D64" s="21" t="str">
        <f>Roadway_total!E61</f>
        <v>EA</v>
      </c>
      <c r="E64" s="143"/>
      <c r="F64" s="18">
        <f t="shared" si="1"/>
        <v>0</v>
      </c>
    </row>
    <row r="65" spans="1:6" x14ac:dyDescent="0.25">
      <c r="A65" s="122" t="s">
        <v>264</v>
      </c>
      <c r="B65" s="105" t="s">
        <v>105</v>
      </c>
      <c r="C65" s="21">
        <v>70</v>
      </c>
      <c r="D65" s="21" t="s">
        <v>12</v>
      </c>
      <c r="E65" s="143"/>
      <c r="F65" s="18">
        <f t="shared" si="1"/>
        <v>0</v>
      </c>
    </row>
    <row r="66" spans="1:6" x14ac:dyDescent="0.25">
      <c r="A66" s="122" t="str">
        <f>'Manatee Avg'!B63</f>
        <v>711 11 123</v>
      </c>
      <c r="B66" s="122" t="str">
        <f>'Manatee Avg'!C63</f>
        <v>THERMOPLASTIC, STANDARD, WHITE, SOLID, 12" FOR CROSSWALK AND ROUNDABOUT</v>
      </c>
      <c r="C66" s="17">
        <f>C47</f>
        <v>655</v>
      </c>
      <c r="D66" s="16" t="s">
        <v>1</v>
      </c>
      <c r="E66" s="143"/>
      <c r="F66" s="18">
        <f t="shared" si="1"/>
        <v>0</v>
      </c>
    </row>
    <row r="67" spans="1:6" x14ac:dyDescent="0.25">
      <c r="A67" s="122" t="str">
        <f>'Manatee Avg'!B64</f>
        <v>711 11 124</v>
      </c>
      <c r="B67" s="122" t="str">
        <f>'Manatee Avg'!C64</f>
        <v>THERMOPLASTIC, STANDARD, WHITE, SOLID, 18" FOR DIAGONALS AND CHEVRONS</v>
      </c>
      <c r="C67" s="17">
        <f t="shared" ref="C67:C68" si="2">C48</f>
        <v>504</v>
      </c>
      <c r="D67" s="16" t="s">
        <v>1</v>
      </c>
      <c r="E67" s="143"/>
      <c r="F67" s="18">
        <f t="shared" si="1"/>
        <v>0</v>
      </c>
    </row>
    <row r="68" spans="1:6" x14ac:dyDescent="0.25">
      <c r="A68" s="122" t="str">
        <f>'Manatee Avg'!B65</f>
        <v>711 11 125</v>
      </c>
      <c r="B68" s="122" t="str">
        <f>'Manatee Avg'!C65</f>
        <v xml:space="preserve">THERMOPLASTIC, STANDARD, WHITE, SOLID, 24" FOR CROSSWALK </v>
      </c>
      <c r="C68" s="17">
        <f t="shared" si="2"/>
        <v>656</v>
      </c>
      <c r="D68" s="16" t="s">
        <v>1</v>
      </c>
      <c r="E68" s="143"/>
      <c r="F68" s="18">
        <f t="shared" si="1"/>
        <v>0</v>
      </c>
    </row>
    <row r="69" spans="1:6" x14ac:dyDescent="0.25">
      <c r="A69" s="122" t="str">
        <f>'Manatee Avg'!B66</f>
        <v>711 11 141</v>
      </c>
      <c r="B69" s="122" t="str">
        <f>'Manatee Avg'!C66</f>
        <v>THERMOPLASTIC, STANDARD, WHITE, SOLID, 2'-4' DOTTED GUIDELINE, 6"</v>
      </c>
      <c r="C69" s="41">
        <v>0.16900000000000001</v>
      </c>
      <c r="D69" s="16" t="s">
        <v>69</v>
      </c>
      <c r="E69" s="143"/>
      <c r="F69" s="18">
        <f t="shared" si="1"/>
        <v>0</v>
      </c>
    </row>
    <row r="70" spans="1:6" x14ac:dyDescent="0.25">
      <c r="A70" s="122" t="str">
        <f>'Manatee Avg'!B67</f>
        <v>711 11 224</v>
      </c>
      <c r="B70" s="122" t="str">
        <f>'Manatee Avg'!C67</f>
        <v>THERMOPLASTIC, STANDARD, YELLOW, SOLID, 18" FOR DIAGONALS AND CHEVRONS</v>
      </c>
      <c r="C70" s="17">
        <v>552</v>
      </c>
      <c r="D70" s="16" t="s">
        <v>1</v>
      </c>
      <c r="E70" s="143"/>
      <c r="F70" s="18">
        <f t="shared" si="1"/>
        <v>0</v>
      </c>
    </row>
    <row r="71" spans="1:6" x14ac:dyDescent="0.25">
      <c r="A71" s="122" t="str">
        <f>'Manatee Avg'!B68</f>
        <v>711 11 160</v>
      </c>
      <c r="B71" s="122" t="str">
        <f>'Manatee Avg'!C68</f>
        <v>THERMOPLASTIC, STANDARD, WHITE, MESSAGE OR SYMBOL</v>
      </c>
      <c r="C71" s="17">
        <v>4</v>
      </c>
      <c r="D71" s="16" t="s">
        <v>12</v>
      </c>
      <c r="E71" s="143"/>
      <c r="F71" s="18">
        <f t="shared" si="1"/>
        <v>0</v>
      </c>
    </row>
    <row r="72" spans="1:6" x14ac:dyDescent="0.25">
      <c r="A72" s="122" t="str">
        <f>'Manatee Avg'!B69</f>
        <v>711 11 241</v>
      </c>
      <c r="B72" s="122" t="str">
        <f>'Manatee Avg'!C69</f>
        <v>THERMOPLASTIC, STANDARD, YELLOW, 2-4 DOTTED GUIDE LINE /6-10 DOTTED EXTENSION LINE, 6"</v>
      </c>
      <c r="C72" s="41">
        <v>0.01</v>
      </c>
      <c r="D72" s="16" t="str">
        <f>D56</f>
        <v>GM</v>
      </c>
      <c r="E72" s="143"/>
      <c r="F72" s="18">
        <f t="shared" si="1"/>
        <v>0</v>
      </c>
    </row>
    <row r="73" spans="1:6" x14ac:dyDescent="0.25">
      <c r="A73" s="122" t="str">
        <f>'Manatee Avg'!B70</f>
        <v>711 14 170</v>
      </c>
      <c r="B73" s="122" t="str">
        <f>'Manatee Avg'!C70</f>
        <v>THERMOPLASTIC, STANDARD, WHITE, ARROW</v>
      </c>
      <c r="C73" s="17">
        <v>33</v>
      </c>
      <c r="D73" s="16" t="s">
        <v>12</v>
      </c>
      <c r="E73" s="143"/>
      <c r="F73" s="18">
        <f t="shared" si="1"/>
        <v>0</v>
      </c>
    </row>
    <row r="74" spans="1:6" x14ac:dyDescent="0.25">
      <c r="A74" s="122" t="str">
        <f>'Manatee Avg'!B71</f>
        <v>711 16 101</v>
      </c>
      <c r="B74" s="122" t="str">
        <f>'Manatee Avg'!C71</f>
        <v>THERMOPLASTIC, STANDARD, OTHER SURFACES, WHITE, SOLID, 6"</v>
      </c>
      <c r="C74" s="41">
        <v>2.758</v>
      </c>
      <c r="D74" s="16" t="s">
        <v>69</v>
      </c>
      <c r="E74" s="143"/>
      <c r="F74" s="18">
        <f t="shared" si="1"/>
        <v>0</v>
      </c>
    </row>
    <row r="75" spans="1:6" x14ac:dyDescent="0.25">
      <c r="A75" s="122" t="str">
        <f>'Manatee Avg'!B72</f>
        <v>711 16 201</v>
      </c>
      <c r="B75" s="122" t="str">
        <f>'Manatee Avg'!C72</f>
        <v>THERMOPLASTIC, STANDARD, OTHER SURFACES, YELLOW, SOLID, 6"</v>
      </c>
      <c r="C75" s="41">
        <v>1.2</v>
      </c>
      <c r="D75" s="16" t="s">
        <v>69</v>
      </c>
      <c r="E75" s="143"/>
      <c r="F75" s="18">
        <f t="shared" si="1"/>
        <v>0</v>
      </c>
    </row>
    <row r="76" spans="1:6" x14ac:dyDescent="0.25">
      <c r="A76" s="122" t="str">
        <f>'Manatee Avg'!B73</f>
        <v>714-10</v>
      </c>
      <c r="B76" s="122" t="str">
        <f>'Manatee Avg'!C73</f>
        <v>GREEN-COLORED PAVEMENT MARKINGS, BIKE LANE</v>
      </c>
      <c r="C76" s="41">
        <v>3162</v>
      </c>
      <c r="D76" s="16" t="s">
        <v>45</v>
      </c>
      <c r="E76" s="143"/>
      <c r="F76" s="18">
        <f t="shared" si="1"/>
        <v>0</v>
      </c>
    </row>
    <row r="77" spans="1:6" x14ac:dyDescent="0.25">
      <c r="A77" s="135"/>
      <c r="B77" s="33"/>
      <c r="C77" s="34"/>
      <c r="D77" s="35"/>
      <c r="E77" s="36"/>
      <c r="F77" s="37"/>
    </row>
    <row r="78" spans="1:6" x14ac:dyDescent="0.25">
      <c r="A78" s="105" t="s">
        <v>181</v>
      </c>
      <c r="B78" s="7" t="s">
        <v>182</v>
      </c>
      <c r="C78" s="27">
        <v>60</v>
      </c>
      <c r="D78" s="16" t="s">
        <v>2</v>
      </c>
      <c r="E78" s="142"/>
      <c r="F78" s="18">
        <f>SUM(C78*E78)</f>
        <v>0</v>
      </c>
    </row>
    <row r="79" spans="1:6" x14ac:dyDescent="0.25">
      <c r="A79" s="105" t="s">
        <v>195</v>
      </c>
      <c r="B79" s="7" t="s">
        <v>196</v>
      </c>
      <c r="C79" s="17">
        <v>2850</v>
      </c>
      <c r="D79" s="16" t="s">
        <v>1</v>
      </c>
      <c r="E79" s="142"/>
      <c r="F79" s="18">
        <f t="shared" ref="F79:F124" si="3">SUM(C79*E79)</f>
        <v>0</v>
      </c>
    </row>
    <row r="80" spans="1:6" hidden="1" x14ac:dyDescent="0.25">
      <c r="A80" s="105" t="s">
        <v>183</v>
      </c>
      <c r="B80" s="7" t="s">
        <v>184</v>
      </c>
      <c r="C80" s="17"/>
      <c r="D80" s="16" t="s">
        <v>1</v>
      </c>
      <c r="E80" s="142"/>
      <c r="F80" s="18">
        <f t="shared" si="3"/>
        <v>0</v>
      </c>
    </row>
    <row r="81" spans="1:6" x14ac:dyDescent="0.25">
      <c r="A81" s="105" t="s">
        <v>222</v>
      </c>
      <c r="B81" s="7" t="s">
        <v>223</v>
      </c>
      <c r="C81" s="17">
        <v>1</v>
      </c>
      <c r="D81" s="16" t="s">
        <v>12</v>
      </c>
      <c r="E81" s="142"/>
      <c r="F81" s="18">
        <f t="shared" si="3"/>
        <v>0</v>
      </c>
    </row>
    <row r="82" spans="1:6" x14ac:dyDescent="0.25">
      <c r="A82" s="105" t="s">
        <v>197</v>
      </c>
      <c r="B82" s="7" t="s">
        <v>198</v>
      </c>
      <c r="C82" s="17">
        <v>21</v>
      </c>
      <c r="D82" s="16" t="s">
        <v>12</v>
      </c>
      <c r="E82" s="142"/>
      <c r="F82" s="18">
        <f t="shared" si="3"/>
        <v>0</v>
      </c>
    </row>
    <row r="83" spans="1:6" x14ac:dyDescent="0.25">
      <c r="A83" s="105" t="s">
        <v>211</v>
      </c>
      <c r="B83" s="7" t="s">
        <v>212</v>
      </c>
      <c r="C83" s="17">
        <v>1</v>
      </c>
      <c r="D83" s="16" t="s">
        <v>12</v>
      </c>
      <c r="E83" s="142"/>
      <c r="F83" s="18">
        <f t="shared" si="3"/>
        <v>0</v>
      </c>
    </row>
    <row r="84" spans="1:6" hidden="1" x14ac:dyDescent="0.25">
      <c r="A84" s="105" t="s">
        <v>199</v>
      </c>
      <c r="B84" s="7" t="s">
        <v>200</v>
      </c>
      <c r="C84" s="17"/>
      <c r="D84" s="16" t="s">
        <v>12</v>
      </c>
      <c r="E84" s="142"/>
      <c r="F84" s="18">
        <f t="shared" si="3"/>
        <v>0</v>
      </c>
    </row>
    <row r="85" spans="1:6" x14ac:dyDescent="0.25">
      <c r="A85" s="105" t="s">
        <v>201</v>
      </c>
      <c r="B85" s="7" t="s">
        <v>202</v>
      </c>
      <c r="C85" s="17">
        <v>8</v>
      </c>
      <c r="D85" s="16" t="s">
        <v>12</v>
      </c>
      <c r="E85" s="142"/>
      <c r="F85" s="18">
        <f t="shared" si="3"/>
        <v>0</v>
      </c>
    </row>
    <row r="86" spans="1:6" x14ac:dyDescent="0.25">
      <c r="A86" s="105" t="s">
        <v>203</v>
      </c>
      <c r="B86" s="7" t="s">
        <v>204</v>
      </c>
      <c r="C86" s="17">
        <v>2</v>
      </c>
      <c r="D86" s="16" t="s">
        <v>12</v>
      </c>
      <c r="E86" s="142"/>
      <c r="F86" s="18">
        <f t="shared" si="3"/>
        <v>0</v>
      </c>
    </row>
    <row r="87" spans="1:6" hidden="1" x14ac:dyDescent="0.25">
      <c r="A87" s="105" t="s">
        <v>213</v>
      </c>
      <c r="B87" s="7" t="s">
        <v>214</v>
      </c>
      <c r="C87" s="17"/>
      <c r="D87" s="16" t="s">
        <v>12</v>
      </c>
      <c r="E87" s="142"/>
      <c r="F87" s="18">
        <f t="shared" si="3"/>
        <v>0</v>
      </c>
    </row>
    <row r="88" spans="1:6" x14ac:dyDescent="0.25">
      <c r="A88" s="105" t="s">
        <v>224</v>
      </c>
      <c r="B88" s="7" t="s">
        <v>225</v>
      </c>
      <c r="C88" s="17">
        <v>1</v>
      </c>
      <c r="D88" s="16" t="s">
        <v>12</v>
      </c>
      <c r="E88" s="142"/>
      <c r="F88" s="18">
        <f t="shared" si="3"/>
        <v>0</v>
      </c>
    </row>
    <row r="89" spans="1:6" x14ac:dyDescent="0.25">
      <c r="A89" s="105" t="s">
        <v>226</v>
      </c>
      <c r="B89" s="7" t="s">
        <v>227</v>
      </c>
      <c r="C89" s="17">
        <v>3</v>
      </c>
      <c r="D89" s="16" t="s">
        <v>12</v>
      </c>
      <c r="E89" s="142"/>
      <c r="F89" s="18">
        <f t="shared" si="3"/>
        <v>0</v>
      </c>
    </row>
    <row r="90" spans="1:6" x14ac:dyDescent="0.25">
      <c r="A90" s="105" t="s">
        <v>228</v>
      </c>
      <c r="B90" s="7" t="s">
        <v>229</v>
      </c>
      <c r="C90" s="17">
        <v>2</v>
      </c>
      <c r="D90" s="16" t="s">
        <v>12</v>
      </c>
      <c r="E90" s="142"/>
      <c r="F90" s="18">
        <f t="shared" si="3"/>
        <v>0</v>
      </c>
    </row>
    <row r="91" spans="1:6" x14ac:dyDescent="0.25">
      <c r="A91" s="105" t="s">
        <v>215</v>
      </c>
      <c r="B91" s="7" t="s">
        <v>216</v>
      </c>
      <c r="C91" s="17">
        <v>2</v>
      </c>
      <c r="D91" s="16" t="s">
        <v>12</v>
      </c>
      <c r="E91" s="142"/>
      <c r="F91" s="18">
        <f t="shared" si="3"/>
        <v>0</v>
      </c>
    </row>
    <row r="92" spans="1:6" hidden="1" x14ac:dyDescent="0.25">
      <c r="A92" s="136" t="s">
        <v>265</v>
      </c>
      <c r="B92" s="7" t="s">
        <v>266</v>
      </c>
      <c r="C92" s="17"/>
      <c r="D92" s="16" t="s">
        <v>12</v>
      </c>
      <c r="E92" s="142"/>
      <c r="F92" s="18">
        <f t="shared" si="3"/>
        <v>0</v>
      </c>
    </row>
    <row r="93" spans="1:6" hidden="1" x14ac:dyDescent="0.25">
      <c r="A93" s="136" t="s">
        <v>267</v>
      </c>
      <c r="B93" s="7" t="s">
        <v>268</v>
      </c>
      <c r="C93" s="17"/>
      <c r="D93" s="16" t="s">
        <v>12</v>
      </c>
      <c r="E93" s="142"/>
      <c r="F93" s="18">
        <f t="shared" si="3"/>
        <v>0</v>
      </c>
    </row>
    <row r="94" spans="1:6" hidden="1" x14ac:dyDescent="0.25">
      <c r="A94" s="136" t="s">
        <v>269</v>
      </c>
      <c r="B94" s="7" t="s">
        <v>270</v>
      </c>
      <c r="C94" s="17"/>
      <c r="D94" s="16" t="s">
        <v>12</v>
      </c>
      <c r="E94" s="142"/>
      <c r="F94" s="18">
        <f t="shared" si="3"/>
        <v>0</v>
      </c>
    </row>
    <row r="95" spans="1:6" hidden="1" x14ac:dyDescent="0.25">
      <c r="A95" s="136" t="s">
        <v>230</v>
      </c>
      <c r="B95" s="7" t="s">
        <v>231</v>
      </c>
      <c r="C95" s="17"/>
      <c r="D95" s="16" t="s">
        <v>12</v>
      </c>
      <c r="E95" s="142"/>
      <c r="F95" s="18">
        <f t="shared" si="3"/>
        <v>0</v>
      </c>
    </row>
    <row r="96" spans="1:6" x14ac:dyDescent="0.25">
      <c r="A96" s="136" t="s">
        <v>205</v>
      </c>
      <c r="B96" s="7" t="s">
        <v>206</v>
      </c>
      <c r="C96" s="17">
        <v>1</v>
      </c>
      <c r="D96" s="16" t="s">
        <v>12</v>
      </c>
      <c r="E96" s="142"/>
      <c r="F96" s="18">
        <f t="shared" si="3"/>
        <v>0</v>
      </c>
    </row>
    <row r="97" spans="1:6" x14ac:dyDescent="0.25">
      <c r="A97" s="136" t="s">
        <v>232</v>
      </c>
      <c r="B97" s="7" t="s">
        <v>233</v>
      </c>
      <c r="C97" s="17">
        <v>1</v>
      </c>
      <c r="D97" s="16" t="s">
        <v>12</v>
      </c>
      <c r="E97" s="142"/>
      <c r="F97" s="18">
        <f t="shared" si="3"/>
        <v>0</v>
      </c>
    </row>
    <row r="98" spans="1:6" x14ac:dyDescent="0.25">
      <c r="A98" s="136" t="s">
        <v>187</v>
      </c>
      <c r="B98" s="7" t="s">
        <v>188</v>
      </c>
      <c r="C98" s="17">
        <v>1</v>
      </c>
      <c r="D98" s="16" t="s">
        <v>12</v>
      </c>
      <c r="E98" s="142"/>
      <c r="F98" s="18">
        <f t="shared" si="3"/>
        <v>0</v>
      </c>
    </row>
    <row r="99" spans="1:6" hidden="1" x14ac:dyDescent="0.25">
      <c r="A99" s="136" t="s">
        <v>185</v>
      </c>
      <c r="B99" s="7" t="s">
        <v>186</v>
      </c>
      <c r="C99" s="17"/>
      <c r="D99" s="16" t="s">
        <v>12</v>
      </c>
      <c r="E99" s="142"/>
      <c r="F99" s="18">
        <f t="shared" si="3"/>
        <v>0</v>
      </c>
    </row>
    <row r="100" spans="1:6" x14ac:dyDescent="0.25">
      <c r="A100" s="136">
        <v>430175115</v>
      </c>
      <c r="B100" s="7" t="s">
        <v>348</v>
      </c>
      <c r="C100" s="17">
        <v>33</v>
      </c>
      <c r="D100" s="16" t="s">
        <v>1</v>
      </c>
      <c r="E100" s="142"/>
      <c r="F100" s="18">
        <f t="shared" si="3"/>
        <v>0</v>
      </c>
    </row>
    <row r="101" spans="1:6" x14ac:dyDescent="0.25">
      <c r="A101" s="136">
        <v>430175118</v>
      </c>
      <c r="B101" s="7" t="s">
        <v>207</v>
      </c>
      <c r="C101" s="17">
        <v>718</v>
      </c>
      <c r="D101" s="16" t="s">
        <v>1</v>
      </c>
      <c r="E101" s="142"/>
      <c r="F101" s="18">
        <f t="shared" si="3"/>
        <v>0</v>
      </c>
    </row>
    <row r="102" spans="1:6" x14ac:dyDescent="0.25">
      <c r="A102" s="136">
        <v>430175124</v>
      </c>
      <c r="B102" s="7" t="s">
        <v>208</v>
      </c>
      <c r="C102" s="17">
        <v>178</v>
      </c>
      <c r="D102" s="16" t="s">
        <v>1</v>
      </c>
      <c r="E102" s="142"/>
      <c r="F102" s="18">
        <f t="shared" si="3"/>
        <v>0</v>
      </c>
    </row>
    <row r="103" spans="1:6" hidden="1" x14ac:dyDescent="0.25">
      <c r="A103" s="136">
        <v>430175130</v>
      </c>
      <c r="B103" s="7" t="s">
        <v>217</v>
      </c>
      <c r="C103" s="17"/>
      <c r="D103" s="16" t="s">
        <v>1</v>
      </c>
      <c r="E103" s="142"/>
      <c r="F103" s="18">
        <f t="shared" si="3"/>
        <v>0</v>
      </c>
    </row>
    <row r="104" spans="1:6" x14ac:dyDescent="0.25">
      <c r="A104" s="136">
        <v>430175218</v>
      </c>
      <c r="B104" s="7" t="s">
        <v>234</v>
      </c>
      <c r="C104" s="17">
        <v>239</v>
      </c>
      <c r="D104" s="16" t="s">
        <v>1</v>
      </c>
      <c r="E104" s="142"/>
      <c r="F104" s="18">
        <f t="shared" si="3"/>
        <v>0</v>
      </c>
    </row>
    <row r="105" spans="1:6" x14ac:dyDescent="0.25">
      <c r="A105" s="136">
        <v>430175224</v>
      </c>
      <c r="B105" s="7" t="s">
        <v>209</v>
      </c>
      <c r="C105" s="17">
        <v>141</v>
      </c>
      <c r="D105" s="16" t="s">
        <v>1</v>
      </c>
      <c r="E105" s="142"/>
      <c r="F105" s="18">
        <f t="shared" si="3"/>
        <v>0</v>
      </c>
    </row>
    <row r="106" spans="1:6" x14ac:dyDescent="0.25">
      <c r="A106" s="136">
        <v>430175230</v>
      </c>
      <c r="B106" s="7" t="s">
        <v>235</v>
      </c>
      <c r="C106" s="17">
        <v>779</v>
      </c>
      <c r="D106" s="16" t="s">
        <v>1</v>
      </c>
      <c r="E106" s="142"/>
      <c r="F106" s="18">
        <f t="shared" si="3"/>
        <v>0</v>
      </c>
    </row>
    <row r="107" spans="1:6" x14ac:dyDescent="0.25">
      <c r="A107" s="136">
        <v>430175236</v>
      </c>
      <c r="B107" s="7" t="s">
        <v>236</v>
      </c>
      <c r="C107" s="17">
        <v>81</v>
      </c>
      <c r="D107" s="16" t="s">
        <v>1</v>
      </c>
      <c r="E107" s="142"/>
      <c r="F107" s="18">
        <f t="shared" si="3"/>
        <v>0</v>
      </c>
    </row>
    <row r="108" spans="1:6" hidden="1" x14ac:dyDescent="0.25">
      <c r="A108" s="136">
        <v>430175242</v>
      </c>
      <c r="B108" s="7" t="s">
        <v>237</v>
      </c>
      <c r="C108" s="17"/>
      <c r="D108" s="16" t="s">
        <v>1</v>
      </c>
      <c r="E108" s="142"/>
      <c r="F108" s="18">
        <f t="shared" si="3"/>
        <v>0</v>
      </c>
    </row>
    <row r="109" spans="1:6" hidden="1" x14ac:dyDescent="0.25">
      <c r="A109" s="136">
        <v>430175248</v>
      </c>
      <c r="B109" s="7" t="s">
        <v>238</v>
      </c>
      <c r="C109" s="17"/>
      <c r="D109" s="16" t="s">
        <v>1</v>
      </c>
      <c r="E109" s="142"/>
      <c r="F109" s="18">
        <f t="shared" si="3"/>
        <v>0</v>
      </c>
    </row>
    <row r="110" spans="1:6" hidden="1" x14ac:dyDescent="0.25">
      <c r="A110" s="136">
        <v>430175260</v>
      </c>
      <c r="B110" s="7" t="s">
        <v>189</v>
      </c>
      <c r="C110" s="17"/>
      <c r="D110" s="16" t="s">
        <v>1</v>
      </c>
      <c r="E110" s="142"/>
      <c r="F110" s="18">
        <f t="shared" si="3"/>
        <v>0</v>
      </c>
    </row>
    <row r="111" spans="1:6" hidden="1" x14ac:dyDescent="0.25">
      <c r="A111" s="136">
        <v>430524120</v>
      </c>
      <c r="B111" s="7" t="s">
        <v>276</v>
      </c>
      <c r="C111" s="17"/>
      <c r="D111" s="16" t="s">
        <v>12</v>
      </c>
      <c r="E111" s="142"/>
      <c r="F111" s="18">
        <f t="shared" si="3"/>
        <v>0</v>
      </c>
    </row>
    <row r="112" spans="1:6" hidden="1" x14ac:dyDescent="0.25">
      <c r="A112" s="136">
        <v>430548200</v>
      </c>
      <c r="B112" s="7" t="s">
        <v>277</v>
      </c>
      <c r="C112" s="17"/>
      <c r="D112" s="16" t="s">
        <v>12</v>
      </c>
      <c r="E112" s="142"/>
      <c r="F112" s="18">
        <f t="shared" si="3"/>
        <v>0</v>
      </c>
    </row>
    <row r="113" spans="1:7" hidden="1" x14ac:dyDescent="0.25">
      <c r="A113" s="136">
        <v>430560200</v>
      </c>
      <c r="B113" s="7" t="s">
        <v>278</v>
      </c>
      <c r="C113" s="17"/>
      <c r="D113" s="16" t="s">
        <v>12</v>
      </c>
      <c r="E113" s="142"/>
      <c r="F113" s="18">
        <f t="shared" si="3"/>
        <v>0</v>
      </c>
    </row>
    <row r="114" spans="1:7" hidden="1" x14ac:dyDescent="0.25">
      <c r="A114" s="136" t="s">
        <v>239</v>
      </c>
      <c r="B114" s="7" t="s">
        <v>240</v>
      </c>
      <c r="C114" s="27"/>
      <c r="D114" s="16" t="s">
        <v>14</v>
      </c>
      <c r="E114" s="142"/>
      <c r="F114" s="18">
        <f t="shared" si="3"/>
        <v>0</v>
      </c>
    </row>
    <row r="115" spans="1:7" x14ac:dyDescent="0.25">
      <c r="A115" s="136">
        <v>430982123</v>
      </c>
      <c r="B115" s="7" t="s">
        <v>218</v>
      </c>
      <c r="C115" s="17">
        <v>2</v>
      </c>
      <c r="D115" s="16" t="s">
        <v>12</v>
      </c>
      <c r="E115" s="142"/>
      <c r="F115" s="18">
        <f t="shared" si="3"/>
        <v>0</v>
      </c>
    </row>
    <row r="116" spans="1:7" x14ac:dyDescent="0.25">
      <c r="A116" s="136">
        <v>430982125</v>
      </c>
      <c r="B116" s="7" t="s">
        <v>210</v>
      </c>
      <c r="C116" s="17">
        <v>1</v>
      </c>
      <c r="D116" s="16" t="s">
        <v>12</v>
      </c>
      <c r="E116" s="142"/>
      <c r="F116" s="18">
        <f t="shared" si="3"/>
        <v>0</v>
      </c>
    </row>
    <row r="117" spans="1:7" hidden="1" x14ac:dyDescent="0.25">
      <c r="A117" s="136">
        <v>430982129</v>
      </c>
      <c r="B117" s="7" t="s">
        <v>219</v>
      </c>
      <c r="C117" s="17"/>
      <c r="D117" s="16" t="s">
        <v>12</v>
      </c>
      <c r="E117" s="142"/>
      <c r="F117" s="18">
        <f t="shared" si="3"/>
        <v>0</v>
      </c>
    </row>
    <row r="118" spans="1:7" x14ac:dyDescent="0.25">
      <c r="A118" s="136">
        <v>430982623</v>
      </c>
      <c r="B118" s="7" t="s">
        <v>241</v>
      </c>
      <c r="C118" s="17">
        <v>1</v>
      </c>
      <c r="D118" s="16" t="s">
        <v>12</v>
      </c>
      <c r="E118" s="142"/>
      <c r="F118" s="18">
        <f t="shared" si="3"/>
        <v>0</v>
      </c>
    </row>
    <row r="119" spans="1:7" x14ac:dyDescent="0.25">
      <c r="A119" s="136">
        <v>430982638</v>
      </c>
      <c r="B119" s="7" t="s">
        <v>242</v>
      </c>
      <c r="C119" s="17">
        <v>1</v>
      </c>
      <c r="D119" s="16" t="s">
        <v>12</v>
      </c>
      <c r="E119" s="142"/>
      <c r="F119" s="18">
        <f t="shared" si="3"/>
        <v>0</v>
      </c>
    </row>
    <row r="120" spans="1:7" hidden="1" x14ac:dyDescent="0.25">
      <c r="A120" s="136">
        <v>430982640</v>
      </c>
      <c r="B120" s="7" t="s">
        <v>271</v>
      </c>
      <c r="C120" s="17"/>
      <c r="D120" s="16" t="s">
        <v>12</v>
      </c>
      <c r="E120" s="142"/>
      <c r="F120" s="18">
        <f t="shared" si="3"/>
        <v>0</v>
      </c>
    </row>
    <row r="121" spans="1:7" hidden="1" x14ac:dyDescent="0.25">
      <c r="A121" s="136">
        <v>430982643</v>
      </c>
      <c r="B121" s="7" t="s">
        <v>190</v>
      </c>
      <c r="C121" s="17"/>
      <c r="D121" s="16" t="s">
        <v>12</v>
      </c>
      <c r="E121" s="142"/>
      <c r="F121" s="18">
        <f t="shared" si="3"/>
        <v>0</v>
      </c>
    </row>
    <row r="122" spans="1:7" hidden="1" x14ac:dyDescent="0.25">
      <c r="A122" s="136" t="s">
        <v>220</v>
      </c>
      <c r="B122" s="7" t="s">
        <v>221</v>
      </c>
      <c r="C122" s="17"/>
      <c r="D122" s="16" t="s">
        <v>1</v>
      </c>
      <c r="E122" s="142"/>
      <c r="F122" s="18">
        <f t="shared" si="3"/>
        <v>0</v>
      </c>
    </row>
    <row r="123" spans="1:7" hidden="1" x14ac:dyDescent="0.25">
      <c r="A123" s="137" t="s">
        <v>272</v>
      </c>
      <c r="B123" s="7" t="s">
        <v>273</v>
      </c>
      <c r="C123" s="112"/>
      <c r="D123" s="16" t="s">
        <v>2</v>
      </c>
      <c r="E123" s="142"/>
      <c r="F123" s="18">
        <f t="shared" si="3"/>
        <v>0</v>
      </c>
    </row>
    <row r="124" spans="1:7" x14ac:dyDescent="0.25">
      <c r="A124" s="105" t="s">
        <v>191</v>
      </c>
      <c r="B124" s="7" t="s">
        <v>192</v>
      </c>
      <c r="C124" s="27">
        <v>2.2000000000000002</v>
      </c>
      <c r="D124" s="16" t="s">
        <v>3</v>
      </c>
      <c r="E124" s="142"/>
      <c r="F124" s="18">
        <f t="shared" si="3"/>
        <v>0</v>
      </c>
    </row>
    <row r="125" spans="1:7" hidden="1" x14ac:dyDescent="0.25">
      <c r="A125" s="105" t="s">
        <v>193</v>
      </c>
      <c r="B125" s="7" t="s">
        <v>194</v>
      </c>
      <c r="C125" s="27"/>
      <c r="D125" s="16" t="s">
        <v>3</v>
      </c>
      <c r="E125" s="23"/>
      <c r="F125" s="18"/>
    </row>
    <row r="126" spans="1:7" x14ac:dyDescent="0.25">
      <c r="A126" s="138"/>
      <c r="B126" s="81"/>
      <c r="C126" s="82"/>
      <c r="D126" s="83"/>
      <c r="E126" s="84"/>
      <c r="F126" s="85"/>
    </row>
    <row r="127" spans="1:7" x14ac:dyDescent="0.25">
      <c r="A127" s="122" t="s">
        <v>243</v>
      </c>
      <c r="B127" s="77" t="s">
        <v>244</v>
      </c>
      <c r="C127" s="17">
        <v>1300</v>
      </c>
      <c r="D127" s="19" t="s">
        <v>1</v>
      </c>
      <c r="E127" s="144"/>
      <c r="F127" s="18">
        <f>SUM(C127*E127)</f>
        <v>0</v>
      </c>
      <c r="G127" s="141"/>
    </row>
    <row r="128" spans="1:7" x14ac:dyDescent="0.25">
      <c r="A128" s="105" t="s">
        <v>245</v>
      </c>
      <c r="B128" s="77" t="s">
        <v>125</v>
      </c>
      <c r="C128" s="17">
        <v>410</v>
      </c>
      <c r="D128" s="16" t="s">
        <v>1</v>
      </c>
      <c r="E128" s="144"/>
      <c r="F128" s="18">
        <f t="shared" ref="F128:F138" si="4">SUM(C128*E128)</f>
        <v>0</v>
      </c>
    </row>
    <row r="129" spans="1:8" x14ac:dyDescent="0.25">
      <c r="A129" s="105" t="s">
        <v>246</v>
      </c>
      <c r="B129" s="77" t="s">
        <v>247</v>
      </c>
      <c r="C129" s="17">
        <v>22</v>
      </c>
      <c r="D129" s="16" t="s">
        <v>12</v>
      </c>
      <c r="E129" s="144"/>
      <c r="F129" s="18">
        <f t="shared" si="4"/>
        <v>0</v>
      </c>
    </row>
    <row r="130" spans="1:8" x14ac:dyDescent="0.25">
      <c r="A130" s="122" t="s">
        <v>248</v>
      </c>
      <c r="B130" s="77" t="s">
        <v>249</v>
      </c>
      <c r="C130" s="17">
        <v>1</v>
      </c>
      <c r="D130" s="19" t="s">
        <v>96</v>
      </c>
      <c r="E130" s="144"/>
      <c r="F130" s="18">
        <f t="shared" si="4"/>
        <v>0</v>
      </c>
    </row>
    <row r="131" spans="1:8" x14ac:dyDescent="0.25">
      <c r="A131" s="105" t="s">
        <v>250</v>
      </c>
      <c r="B131" s="77" t="s">
        <v>251</v>
      </c>
      <c r="C131" s="17">
        <v>7604</v>
      </c>
      <c r="D131" s="16" t="s">
        <v>1</v>
      </c>
      <c r="E131" s="144"/>
      <c r="F131" s="18">
        <f t="shared" si="4"/>
        <v>0</v>
      </c>
    </row>
    <row r="132" spans="1:8" x14ac:dyDescent="0.25">
      <c r="A132" s="105" t="str">
        <f>'Manatee Avg'!B173</f>
        <v>715 1 12</v>
      </c>
      <c r="B132" s="105" t="str">
        <f>'Manatee Avg'!C173</f>
        <v>LIGHTING CONDUCTORS, F&amp;I, INSULATED, NO 6 TO NO 8</v>
      </c>
      <c r="C132" s="17">
        <v>80</v>
      </c>
      <c r="D132" s="16" t="s">
        <v>1</v>
      </c>
      <c r="E132" s="144"/>
      <c r="F132" s="18">
        <f t="shared" si="4"/>
        <v>0</v>
      </c>
    </row>
    <row r="133" spans="1:8" ht="30" x14ac:dyDescent="0.25">
      <c r="A133" s="105" t="str">
        <f>'Manatee Avg'!B174</f>
        <v>715 61 11</v>
      </c>
      <c r="B133" s="131" t="str">
        <f>'Manatee Avg'!C174</f>
        <v>LIGHT POLE COMPLETE, FURNISH &amp; INSTALL STANDARD POLE STANDARD FOUNDATION, 30' MOUNTING HEIGHT</v>
      </c>
      <c r="C133" s="17">
        <v>3</v>
      </c>
      <c r="D133" s="16" t="s">
        <v>12</v>
      </c>
      <c r="E133" s="144"/>
      <c r="F133" s="18">
        <f t="shared" si="4"/>
        <v>0</v>
      </c>
    </row>
    <row r="134" spans="1:8" ht="30" x14ac:dyDescent="0.25">
      <c r="A134" s="105" t="str">
        <f>'Manatee Avg'!B175</f>
        <v>715 61 311</v>
      </c>
      <c r="B134" s="131" t="str">
        <f>'Manatee Avg'!C175</f>
        <v>LIGHT POLE COMPLETE, FURNISH &amp; INSTALL STANDARD POLE STANDARD FOUNDATION, 40' MOUNTING HEIGHT 8' ARM</v>
      </c>
      <c r="C134" s="17">
        <v>2</v>
      </c>
      <c r="D134" s="16" t="s">
        <v>12</v>
      </c>
      <c r="E134" s="144"/>
      <c r="F134" s="18">
        <f t="shared" si="4"/>
        <v>0</v>
      </c>
    </row>
    <row r="135" spans="1:8" ht="30" x14ac:dyDescent="0.25">
      <c r="A135" s="105" t="str">
        <f>'Manatee Avg'!B176</f>
        <v>715 61 321</v>
      </c>
      <c r="B135" s="131" t="str">
        <f>'Manatee Avg'!C176</f>
        <v>LIGHT POLE COMPLETE, FURNISH &amp; INSTALL STANDARD POLE STANDARD FOUNDATION, 40' MOUNTING HEIGHT 10' ARM</v>
      </c>
      <c r="C135" s="17">
        <v>10</v>
      </c>
      <c r="D135" s="16" t="s">
        <v>12</v>
      </c>
      <c r="E135" s="144"/>
      <c r="F135" s="18">
        <f t="shared" si="4"/>
        <v>0</v>
      </c>
    </row>
    <row r="136" spans="1:8" ht="30" customHeight="1" x14ac:dyDescent="0.25">
      <c r="A136" s="105" t="str">
        <f>'Manatee Avg'!B177</f>
        <v>715 65 166</v>
      </c>
      <c r="B136" s="131" t="str">
        <f>'Manatee Avg'!C177</f>
        <v>LIGHT POLE COMPLETE, FURNISH &amp; INSTALL UTILITY CONFLICT POLE SPECIAL FOUNDATION, 30' MOUNTING HEIGHT 16' ARM</v>
      </c>
      <c r="C136" s="17">
        <v>1</v>
      </c>
      <c r="D136" s="16"/>
      <c r="E136" s="144"/>
      <c r="F136" s="18">
        <f t="shared" si="4"/>
        <v>0</v>
      </c>
    </row>
    <row r="137" spans="1:8" x14ac:dyDescent="0.25">
      <c r="A137" s="105" t="s">
        <v>258</v>
      </c>
      <c r="B137" s="77" t="s">
        <v>259</v>
      </c>
      <c r="C137" s="17">
        <v>1</v>
      </c>
      <c r="D137" s="16" t="s">
        <v>12</v>
      </c>
      <c r="E137" s="144"/>
      <c r="F137" s="18">
        <f t="shared" si="4"/>
        <v>0</v>
      </c>
    </row>
    <row r="138" spans="1:8" x14ac:dyDescent="0.25">
      <c r="A138" s="105" t="s">
        <v>260</v>
      </c>
      <c r="B138" s="77" t="s">
        <v>295</v>
      </c>
      <c r="C138" s="17">
        <v>22</v>
      </c>
      <c r="D138" s="16" t="s">
        <v>12</v>
      </c>
      <c r="E138" s="144"/>
      <c r="F138" s="18">
        <f t="shared" si="4"/>
        <v>0</v>
      </c>
    </row>
    <row r="139" spans="1:8" ht="20.100000000000001" customHeight="1" x14ac:dyDescent="0.25">
      <c r="A139" s="105"/>
      <c r="B139" s="205" t="s">
        <v>417</v>
      </c>
      <c r="C139" s="205"/>
      <c r="D139" s="205"/>
      <c r="E139" s="205"/>
      <c r="F139" s="145"/>
      <c r="H139" s="141"/>
    </row>
    <row r="140" spans="1:8" ht="20.100000000000001" customHeight="1" thickBot="1" x14ac:dyDescent="0.3">
      <c r="A140" s="105"/>
      <c r="B140" s="205" t="s">
        <v>418</v>
      </c>
      <c r="C140" s="205"/>
      <c r="D140" s="205"/>
      <c r="E140" s="205"/>
      <c r="F140" s="146"/>
    </row>
    <row r="141" spans="1:8" ht="20.100000000000001" customHeight="1" thickBot="1" x14ac:dyDescent="0.3">
      <c r="A141" s="105"/>
      <c r="B141" s="205" t="s">
        <v>419</v>
      </c>
      <c r="C141" s="205"/>
      <c r="D141" s="205"/>
      <c r="E141" s="206"/>
      <c r="F141" s="147"/>
    </row>
    <row r="142" spans="1:8" ht="20.100000000000001" customHeight="1" x14ac:dyDescent="0.25">
      <c r="B142" s="204"/>
      <c r="C142" s="204"/>
      <c r="D142" s="204"/>
      <c r="E142" s="204"/>
    </row>
    <row r="143" spans="1:8" ht="20.100000000000001" customHeight="1" x14ac:dyDescent="0.25"/>
    <row r="144" spans="1:8" s="2" customFormat="1" x14ac:dyDescent="0.25">
      <c r="A144" s="140"/>
      <c r="B144" s="5"/>
      <c r="D144" s="3"/>
      <c r="E144" s="1"/>
      <c r="F144" s="1"/>
      <c r="G144"/>
    </row>
    <row r="145" spans="1:7" s="2" customFormat="1" x14ac:dyDescent="0.25">
      <c r="A145" s="140"/>
      <c r="B145" s="6"/>
      <c r="D145" s="3"/>
      <c r="E145" s="1"/>
      <c r="F145" s="1"/>
      <c r="G145"/>
    </row>
    <row r="146" spans="1:7" s="2" customFormat="1" x14ac:dyDescent="0.25">
      <c r="A146" s="140"/>
      <c r="B146" s="6"/>
      <c r="D146" s="3"/>
      <c r="E146" s="1"/>
      <c r="F146" s="1"/>
      <c r="G146"/>
    </row>
    <row r="147" spans="1:7" s="2" customFormat="1" x14ac:dyDescent="0.25">
      <c r="A147" s="140"/>
      <c r="B147" s="6"/>
      <c r="D147" s="3"/>
      <c r="E147" s="1"/>
      <c r="F147" s="1"/>
      <c r="G147"/>
    </row>
    <row r="148" spans="1:7" x14ac:dyDescent="0.25">
      <c r="A148" s="140"/>
      <c r="B148" s="6"/>
    </row>
    <row r="149" spans="1:7" x14ac:dyDescent="0.25">
      <c r="A149" s="140"/>
      <c r="B149" s="6"/>
    </row>
  </sheetData>
  <sheetProtection algorithmName="SHA-512" hashValue="JyietoLlj7trlLwig/vc1fqEwhqbSqtFoazVwpeio2TqYfW2hp/zVzSC4QUVsobNGtQeTV3493Ubgh09jcRJmw==" saltValue="lh/emapvCRG06ayHH6PUng==" spinCount="100000" sheet="1" selectLockedCells="1"/>
  <mergeCells count="9">
    <mergeCell ref="A3:F3"/>
    <mergeCell ref="A2:F2"/>
    <mergeCell ref="A1:F1"/>
    <mergeCell ref="B142:E142"/>
    <mergeCell ref="B139:E139"/>
    <mergeCell ref="B140:E140"/>
    <mergeCell ref="B141:E141"/>
    <mergeCell ref="A5:F5"/>
    <mergeCell ref="A4:F4"/>
  </mergeCells>
  <pageMargins left="0.25" right="0.25" top="0.75" bottom="0.75" header="0.3" footer="0.3"/>
  <pageSetup scale="79" fitToHeight="0" orientation="landscape" r:id="rId1"/>
  <headerFooter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3F84-986F-4D83-8644-18ACA45B44EE}">
  <sheetPr>
    <tabColor rgb="FF00B050"/>
    <pageSetUpPr fitToPage="1"/>
  </sheetPr>
  <dimension ref="A1:H121"/>
  <sheetViews>
    <sheetView zoomScaleNormal="100" zoomScaleSheetLayoutView="115" workbookViewId="0">
      <selection activeCell="E63" sqref="E63"/>
    </sheetView>
  </sheetViews>
  <sheetFormatPr defaultRowHeight="15" x14ac:dyDescent="0.25"/>
  <cols>
    <col min="1" max="1" width="17.5703125" customWidth="1"/>
    <col min="2" max="2" width="95.85546875" customWidth="1"/>
    <col min="3" max="3" width="9.85546875" style="2" customWidth="1"/>
    <col min="4" max="4" width="6.42578125" style="3" bestFit="1" customWidth="1"/>
    <col min="5" max="5" width="18.42578125" style="1" customWidth="1"/>
    <col min="6" max="6" width="17.7109375" style="1" customWidth="1"/>
    <col min="7" max="7" width="7" customWidth="1"/>
    <col min="8" max="8" width="19.140625" customWidth="1"/>
  </cols>
  <sheetData>
    <row r="1" spans="1:6" ht="18.75" x14ac:dyDescent="0.3">
      <c r="A1" s="194" t="s">
        <v>435</v>
      </c>
      <c r="B1" s="194"/>
      <c r="C1" s="194"/>
      <c r="D1" s="194"/>
      <c r="E1" s="194"/>
      <c r="F1" s="194"/>
    </row>
    <row r="2" spans="1:6" ht="18.75" x14ac:dyDescent="0.3">
      <c r="A2" s="194" t="s">
        <v>413</v>
      </c>
      <c r="B2" s="194"/>
      <c r="C2" s="194"/>
      <c r="D2" s="194"/>
      <c r="E2" s="194"/>
      <c r="F2" s="194"/>
    </row>
    <row r="3" spans="1:6" ht="18.75" x14ac:dyDescent="0.3">
      <c r="A3" s="194" t="s">
        <v>414</v>
      </c>
      <c r="B3" s="194"/>
      <c r="C3" s="194"/>
      <c r="D3" s="194"/>
      <c r="E3" s="194"/>
      <c r="F3" s="194"/>
    </row>
    <row r="4" spans="1:6" ht="18.75" x14ac:dyDescent="0.3">
      <c r="A4" s="194" t="s">
        <v>420</v>
      </c>
      <c r="B4" s="194"/>
      <c r="C4" s="194"/>
      <c r="D4" s="194"/>
      <c r="E4" s="194"/>
      <c r="F4" s="194"/>
    </row>
    <row r="5" spans="1:6" ht="16.5" thickBot="1" x14ac:dyDescent="0.3">
      <c r="A5" s="207" t="s">
        <v>421</v>
      </c>
      <c r="B5" s="207"/>
      <c r="C5" s="207"/>
      <c r="D5" s="207"/>
      <c r="E5" s="207"/>
      <c r="F5" s="207"/>
    </row>
    <row r="6" spans="1:6" ht="16.5" hidden="1" thickBot="1" x14ac:dyDescent="0.3">
      <c r="A6" s="208" t="s">
        <v>415</v>
      </c>
      <c r="B6" s="208"/>
      <c r="C6" s="208"/>
      <c r="D6" s="208"/>
      <c r="E6" s="208"/>
      <c r="F6" s="208"/>
    </row>
    <row r="7" spans="1:6" hidden="1" x14ac:dyDescent="0.25">
      <c r="A7" s="21" t="s">
        <v>20</v>
      </c>
      <c r="B7" s="21" t="s">
        <v>21</v>
      </c>
      <c r="C7" s="21">
        <v>0</v>
      </c>
      <c r="D7" s="21" t="str">
        <f>Roadway_total!E8</f>
        <v>AC</v>
      </c>
      <c r="E7" s="23"/>
      <c r="F7" s="18">
        <f t="shared" ref="F7:F61" si="0">E7*C7</f>
        <v>0</v>
      </c>
    </row>
    <row r="8" spans="1:6" hidden="1" x14ac:dyDescent="0.25">
      <c r="A8" s="21" t="s">
        <v>23</v>
      </c>
      <c r="B8" s="21" t="s">
        <v>24</v>
      </c>
      <c r="C8" s="21">
        <v>0</v>
      </c>
      <c r="D8" s="21" t="str">
        <f>Roadway_total!E9</f>
        <v>SY</v>
      </c>
      <c r="E8" s="23"/>
      <c r="F8" s="18">
        <f t="shared" si="0"/>
        <v>0</v>
      </c>
    </row>
    <row r="9" spans="1:6" hidden="1" x14ac:dyDescent="0.25">
      <c r="A9" s="21" t="s">
        <v>313</v>
      </c>
      <c r="B9" s="21" t="s">
        <v>315</v>
      </c>
      <c r="C9" s="21">
        <v>0</v>
      </c>
      <c r="D9" s="21" t="s">
        <v>12</v>
      </c>
      <c r="E9" s="23"/>
      <c r="F9" s="18"/>
    </row>
    <row r="10" spans="1:6" hidden="1" x14ac:dyDescent="0.25">
      <c r="A10" s="21" t="s">
        <v>25</v>
      </c>
      <c r="B10" s="21" t="s">
        <v>26</v>
      </c>
      <c r="C10" s="21">
        <v>0</v>
      </c>
      <c r="D10" s="21" t="str">
        <f>Roadway_total!E11</f>
        <v>CY</v>
      </c>
      <c r="E10" s="23"/>
      <c r="F10" s="18">
        <f t="shared" si="0"/>
        <v>0</v>
      </c>
    </row>
    <row r="11" spans="1:6" hidden="1" x14ac:dyDescent="0.25">
      <c r="A11" s="21" t="s">
        <v>27</v>
      </c>
      <c r="B11" s="21" t="s">
        <v>28</v>
      </c>
      <c r="C11" s="21">
        <v>0</v>
      </c>
      <c r="D11" s="21" t="str">
        <f>Roadway_total!E12</f>
        <v>CY</v>
      </c>
      <c r="E11" s="23"/>
      <c r="F11" s="18">
        <f t="shared" si="0"/>
        <v>0</v>
      </c>
    </row>
    <row r="12" spans="1:6" hidden="1" x14ac:dyDescent="0.25">
      <c r="A12" s="21" t="s">
        <v>29</v>
      </c>
      <c r="B12" s="21" t="s">
        <v>30</v>
      </c>
      <c r="C12" s="21">
        <v>0</v>
      </c>
      <c r="D12" s="21" t="str">
        <f>Roadway_total!E13</f>
        <v>CY</v>
      </c>
      <c r="E12" s="23"/>
      <c r="F12" s="18">
        <f t="shared" si="0"/>
        <v>0</v>
      </c>
    </row>
    <row r="13" spans="1:6" hidden="1" x14ac:dyDescent="0.25">
      <c r="A13" s="21" t="s">
        <v>31</v>
      </c>
      <c r="B13" s="21" t="s">
        <v>32</v>
      </c>
      <c r="C13" s="21">
        <v>0</v>
      </c>
      <c r="D13" s="21" t="str">
        <f>Roadway_total!E14</f>
        <v>SY</v>
      </c>
      <c r="E13" s="23"/>
      <c r="F13" s="18">
        <f t="shared" si="0"/>
        <v>0</v>
      </c>
    </row>
    <row r="14" spans="1:6" hidden="1" x14ac:dyDescent="0.25">
      <c r="A14" s="21">
        <v>285709</v>
      </c>
      <c r="B14" s="21" t="s">
        <v>33</v>
      </c>
      <c r="C14" s="21">
        <v>0</v>
      </c>
      <c r="D14" s="21" t="str">
        <f>Roadway_total!E15</f>
        <v>SY</v>
      </c>
      <c r="E14" s="23"/>
      <c r="F14" s="18">
        <f t="shared" si="0"/>
        <v>0</v>
      </c>
    </row>
    <row r="15" spans="1:6" hidden="1" x14ac:dyDescent="0.25">
      <c r="A15" s="21">
        <v>285701</v>
      </c>
      <c r="B15" s="21" t="s">
        <v>34</v>
      </c>
      <c r="C15" s="21">
        <v>0</v>
      </c>
      <c r="D15" s="21" t="str">
        <f>Roadway_total!E16</f>
        <v>SY</v>
      </c>
      <c r="E15" s="23"/>
      <c r="F15" s="18">
        <f t="shared" si="0"/>
        <v>0</v>
      </c>
    </row>
    <row r="16" spans="1:6" hidden="1" x14ac:dyDescent="0.25">
      <c r="A16" s="21" t="s">
        <v>110</v>
      </c>
      <c r="B16" s="21" t="s">
        <v>111</v>
      </c>
      <c r="C16" s="21">
        <v>0</v>
      </c>
      <c r="D16" s="21" t="str">
        <f>Roadway_total!E17</f>
        <v>SY</v>
      </c>
      <c r="E16" s="23"/>
      <c r="F16" s="18">
        <f t="shared" si="0"/>
        <v>0</v>
      </c>
    </row>
    <row r="17" spans="1:6" hidden="1" x14ac:dyDescent="0.25">
      <c r="A17" s="21" t="s">
        <v>329</v>
      </c>
      <c r="B17" s="21" t="s">
        <v>303</v>
      </c>
      <c r="C17" s="21">
        <v>0</v>
      </c>
      <c r="D17" s="21" t="str">
        <f>Roadway_total!E18</f>
        <v>SY</v>
      </c>
      <c r="E17" s="23"/>
      <c r="F17" s="18">
        <f t="shared" ref="F17" si="1">E17*C17</f>
        <v>0</v>
      </c>
    </row>
    <row r="18" spans="1:6" hidden="1" x14ac:dyDescent="0.25">
      <c r="A18" s="21" t="s">
        <v>35</v>
      </c>
      <c r="B18" s="21" t="s">
        <v>106</v>
      </c>
      <c r="C18" s="21">
        <v>0</v>
      </c>
      <c r="D18" s="21" t="str">
        <f>Roadway_total!E19</f>
        <v>TN</v>
      </c>
      <c r="E18" s="23"/>
      <c r="F18" s="18">
        <f t="shared" si="0"/>
        <v>0</v>
      </c>
    </row>
    <row r="19" spans="1:6" hidden="1" x14ac:dyDescent="0.25">
      <c r="A19" s="21" t="s">
        <v>35</v>
      </c>
      <c r="B19" s="21" t="s">
        <v>107</v>
      </c>
      <c r="C19" s="21">
        <v>0</v>
      </c>
      <c r="D19" s="21" t="str">
        <f>Roadway_total!E20</f>
        <v>TN</v>
      </c>
      <c r="E19" s="23"/>
      <c r="F19" s="18">
        <f t="shared" si="0"/>
        <v>0</v>
      </c>
    </row>
    <row r="20" spans="1:6" hidden="1" x14ac:dyDescent="0.25">
      <c r="A20" s="21" t="s">
        <v>35</v>
      </c>
      <c r="B20" s="21" t="s">
        <v>108</v>
      </c>
      <c r="C20" s="21">
        <v>0</v>
      </c>
      <c r="D20" s="21" t="str">
        <f>Roadway_total!E21</f>
        <v>TN</v>
      </c>
      <c r="E20" s="23"/>
      <c r="F20" s="18">
        <f t="shared" ref="F20:F21" si="2">E20*C20</f>
        <v>0</v>
      </c>
    </row>
    <row r="21" spans="1:6" hidden="1" x14ac:dyDescent="0.25">
      <c r="A21" s="21" t="s">
        <v>35</v>
      </c>
      <c r="B21" s="21" t="s">
        <v>109</v>
      </c>
      <c r="C21" s="21">
        <v>0</v>
      </c>
      <c r="D21" s="21" t="str">
        <f>Roadway_total!E22</f>
        <v>TN</v>
      </c>
      <c r="E21" s="23"/>
      <c r="F21" s="18">
        <f t="shared" si="2"/>
        <v>0</v>
      </c>
    </row>
    <row r="22" spans="1:6" hidden="1" x14ac:dyDescent="0.25">
      <c r="A22" s="21" t="s">
        <v>36</v>
      </c>
      <c r="B22" s="21" t="s">
        <v>37</v>
      </c>
      <c r="C22" s="21">
        <v>0</v>
      </c>
      <c r="D22" s="21" t="str">
        <f>Roadway_total!E23</f>
        <v>CY</v>
      </c>
      <c r="E22" s="23"/>
      <c r="F22" s="18">
        <f t="shared" si="0"/>
        <v>0</v>
      </c>
    </row>
    <row r="23" spans="1:6" hidden="1" x14ac:dyDescent="0.25">
      <c r="A23" s="21" t="s">
        <v>38</v>
      </c>
      <c r="B23" s="21" t="s">
        <v>39</v>
      </c>
      <c r="C23" s="21">
        <v>0</v>
      </c>
      <c r="D23" s="21" t="str">
        <f>Roadway_total!E24</f>
        <v>CY</v>
      </c>
      <c r="E23" s="23"/>
      <c r="F23" s="18">
        <f t="shared" si="0"/>
        <v>0</v>
      </c>
    </row>
    <row r="24" spans="1:6" hidden="1" x14ac:dyDescent="0.25">
      <c r="A24" s="21" t="s">
        <v>40</v>
      </c>
      <c r="B24" s="21" t="s">
        <v>41</v>
      </c>
      <c r="C24" s="21">
        <v>0</v>
      </c>
      <c r="D24" s="21" t="str">
        <f>Roadway_total!E25</f>
        <v>LB</v>
      </c>
      <c r="E24" s="23"/>
      <c r="F24" s="18">
        <f t="shared" si="0"/>
        <v>0</v>
      </c>
    </row>
    <row r="25" spans="1:6" hidden="1" x14ac:dyDescent="0.25">
      <c r="A25" s="21" t="s">
        <v>43</v>
      </c>
      <c r="B25" s="21" t="s">
        <v>44</v>
      </c>
      <c r="C25" s="21">
        <v>0</v>
      </c>
      <c r="D25" s="21" t="str">
        <f>Roadway_total!E26</f>
        <v>SF</v>
      </c>
      <c r="E25" s="23"/>
      <c r="F25" s="18">
        <f t="shared" si="0"/>
        <v>0</v>
      </c>
    </row>
    <row r="26" spans="1:6" hidden="1" x14ac:dyDescent="0.25">
      <c r="A26" s="21" t="s">
        <v>46</v>
      </c>
      <c r="B26" s="21" t="s">
        <v>47</v>
      </c>
      <c r="C26" s="21">
        <v>0</v>
      </c>
      <c r="D26" s="21" t="str">
        <f>Roadway_total!E27</f>
        <v>LF</v>
      </c>
      <c r="E26" s="23"/>
      <c r="F26" s="18">
        <f t="shared" si="0"/>
        <v>0</v>
      </c>
    </row>
    <row r="27" spans="1:6" hidden="1" x14ac:dyDescent="0.25">
      <c r="A27" s="21" t="s">
        <v>48</v>
      </c>
      <c r="B27" s="21" t="s">
        <v>49</v>
      </c>
      <c r="C27" s="21">
        <v>0</v>
      </c>
      <c r="D27" s="21" t="str">
        <f>Roadway_total!E28</f>
        <v>LF</v>
      </c>
      <c r="E27" s="23"/>
      <c r="F27" s="18">
        <f t="shared" si="0"/>
        <v>0</v>
      </c>
    </row>
    <row r="28" spans="1:6" hidden="1" x14ac:dyDescent="0.25">
      <c r="A28" s="21" t="s">
        <v>50</v>
      </c>
      <c r="B28" s="21" t="s">
        <v>51</v>
      </c>
      <c r="C28" s="21">
        <v>0</v>
      </c>
      <c r="D28" s="21" t="str">
        <f>Roadway_total!E29</f>
        <v>LF</v>
      </c>
      <c r="E28" s="23"/>
      <c r="F28" s="18">
        <f t="shared" si="0"/>
        <v>0</v>
      </c>
    </row>
    <row r="29" spans="1:6" hidden="1" x14ac:dyDescent="0.25">
      <c r="A29" s="21" t="s">
        <v>52</v>
      </c>
      <c r="B29" s="21" t="s">
        <v>53</v>
      </c>
      <c r="C29" s="21">
        <v>0</v>
      </c>
      <c r="D29" s="21" t="str">
        <f>Roadway_total!E30</f>
        <v>LF</v>
      </c>
      <c r="E29" s="23"/>
      <c r="F29" s="18">
        <f t="shared" si="0"/>
        <v>0</v>
      </c>
    </row>
    <row r="30" spans="1:6" hidden="1" x14ac:dyDescent="0.25">
      <c r="A30" s="21" t="s">
        <v>54</v>
      </c>
      <c r="B30" s="21" t="s">
        <v>55</v>
      </c>
      <c r="C30" s="21">
        <v>0</v>
      </c>
      <c r="D30" s="21" t="str">
        <f>Roadway_total!E31</f>
        <v>LF</v>
      </c>
      <c r="E30" s="23"/>
      <c r="F30" s="18">
        <f t="shared" si="0"/>
        <v>0</v>
      </c>
    </row>
    <row r="31" spans="1:6" hidden="1" x14ac:dyDescent="0.25">
      <c r="A31" s="21" t="s">
        <v>56</v>
      </c>
      <c r="B31" s="21" t="s">
        <v>57</v>
      </c>
      <c r="C31" s="21">
        <v>0</v>
      </c>
      <c r="D31" s="21" t="str">
        <f>Roadway_total!E32</f>
        <v>SY</v>
      </c>
      <c r="E31" s="23"/>
      <c r="F31" s="18">
        <f t="shared" si="0"/>
        <v>0</v>
      </c>
    </row>
    <row r="32" spans="1:6" hidden="1" x14ac:dyDescent="0.25">
      <c r="A32" s="21" t="s">
        <v>58</v>
      </c>
      <c r="B32" s="21" t="s">
        <v>59</v>
      </c>
      <c r="C32" s="21">
        <v>0</v>
      </c>
      <c r="D32" s="21" t="str">
        <f>Roadway_total!E33</f>
        <v>SY</v>
      </c>
      <c r="E32" s="23"/>
      <c r="F32" s="18">
        <f t="shared" si="0"/>
        <v>0</v>
      </c>
    </row>
    <row r="33" spans="1:6" hidden="1" x14ac:dyDescent="0.25">
      <c r="A33" s="21" t="s">
        <v>60</v>
      </c>
      <c r="B33" s="21" t="s">
        <v>61</v>
      </c>
      <c r="C33" s="21">
        <v>0</v>
      </c>
      <c r="D33" s="21" t="str">
        <f>Roadway_total!E34</f>
        <v>SF</v>
      </c>
      <c r="E33" s="23"/>
      <c r="F33" s="18">
        <f t="shared" si="0"/>
        <v>0</v>
      </c>
    </row>
    <row r="34" spans="1:6" hidden="1" x14ac:dyDescent="0.25">
      <c r="A34" s="21" t="str">
        <f>Roadway_total!B35</f>
        <v>536 1 0</v>
      </c>
      <c r="B34" s="21" t="str">
        <f>Roadway_total!C35</f>
        <v>Guardrail - Roadway General/Low Speed TL-2</v>
      </c>
      <c r="C34" s="21">
        <v>0</v>
      </c>
      <c r="D34" s="21" t="str">
        <f>Roadway_total!E35</f>
        <v>LF</v>
      </c>
      <c r="E34" s="23"/>
      <c r="F34" s="18"/>
    </row>
    <row r="35" spans="1:6" hidden="1" x14ac:dyDescent="0.25">
      <c r="A35" s="21" t="str">
        <f>Roadway_total!B36</f>
        <v>536 85 20</v>
      </c>
      <c r="B35" s="21" t="str">
        <f>Roadway_total!C36</f>
        <v>Guardrail End Treatment - Trailing Anchorage</v>
      </c>
      <c r="C35" s="21">
        <v>0</v>
      </c>
      <c r="D35" s="21" t="str">
        <f>Roadway_total!E36</f>
        <v>EA</v>
      </c>
      <c r="E35" s="23"/>
      <c r="F35" s="18"/>
    </row>
    <row r="36" spans="1:6" hidden="1" x14ac:dyDescent="0.25">
      <c r="A36" s="21" t="str">
        <f>Roadway_total!B37</f>
        <v>536 85 24</v>
      </c>
      <c r="B36" s="21" t="str">
        <f>Roadway_total!C37</f>
        <v>Guardrail End Treatment - Parallel Approach Terminal</v>
      </c>
      <c r="C36" s="21">
        <v>0</v>
      </c>
      <c r="D36" s="21" t="str">
        <f>Roadway_total!E37</f>
        <v>EA</v>
      </c>
      <c r="E36" s="23"/>
      <c r="F36" s="18"/>
    </row>
    <row r="37" spans="1:6" hidden="1" x14ac:dyDescent="0.25">
      <c r="A37" s="21" t="str">
        <f>Roadway_total!B38</f>
        <v>550 10 620</v>
      </c>
      <c r="B37" s="21" t="str">
        <f>Roadway_total!C38</f>
        <v>FENCING, VINYL FENCE 5.1-6.0</v>
      </c>
      <c r="C37" s="21">
        <v>0</v>
      </c>
      <c r="D37" s="21" t="str">
        <f>Roadway_total!E38</f>
        <v>LF</v>
      </c>
      <c r="E37" s="23"/>
      <c r="F37" s="18"/>
    </row>
    <row r="38" spans="1:6" hidden="1" x14ac:dyDescent="0.25">
      <c r="A38" s="21" t="str">
        <f>Roadway_total!B39</f>
        <v>550 60 937</v>
      </c>
      <c r="B38" s="21" t="str">
        <f>Roadway_total!C39</f>
        <v>FENCE GATE</v>
      </c>
      <c r="C38" s="21">
        <v>0</v>
      </c>
      <c r="D38" s="21" t="str">
        <f>Roadway_total!E39</f>
        <v>EA</v>
      </c>
      <c r="E38" s="23"/>
      <c r="F38" s="18"/>
    </row>
    <row r="39" spans="1:6" hidden="1" x14ac:dyDescent="0.25">
      <c r="A39" s="21" t="s">
        <v>62</v>
      </c>
      <c r="B39" s="21" t="s">
        <v>63</v>
      </c>
      <c r="C39" s="21">
        <v>0</v>
      </c>
      <c r="D39" s="21" t="str">
        <f>Roadway_total!E40</f>
        <v>SY</v>
      </c>
      <c r="E39" s="23"/>
      <c r="F39" s="18">
        <f t="shared" si="0"/>
        <v>0</v>
      </c>
    </row>
    <row r="40" spans="1:6" hidden="1" x14ac:dyDescent="0.25">
      <c r="A40" s="21" t="s">
        <v>64</v>
      </c>
      <c r="B40" s="21" t="s">
        <v>65</v>
      </c>
      <c r="C40" s="21">
        <v>0</v>
      </c>
      <c r="D40" s="21" t="str">
        <f>Roadway_total!E41</f>
        <v>LS</v>
      </c>
      <c r="E40" s="23"/>
      <c r="F40" s="18">
        <f t="shared" si="0"/>
        <v>0</v>
      </c>
    </row>
    <row r="41" spans="1:6" hidden="1" x14ac:dyDescent="0.25">
      <c r="A41" s="32"/>
      <c r="B41" s="32"/>
      <c r="C41" s="32"/>
      <c r="D41" s="32"/>
      <c r="E41" s="36"/>
      <c r="F41" s="37"/>
    </row>
    <row r="42" spans="1:6" hidden="1" x14ac:dyDescent="0.25">
      <c r="A42" s="21" t="s">
        <v>67</v>
      </c>
      <c r="B42" s="21" t="s">
        <v>68</v>
      </c>
      <c r="C42" s="95">
        <v>0</v>
      </c>
      <c r="D42" s="21" t="str">
        <f>Roadway_total!E43</f>
        <v>GM</v>
      </c>
      <c r="E42" s="23"/>
      <c r="F42" s="18">
        <f t="shared" si="0"/>
        <v>0</v>
      </c>
    </row>
    <row r="43" spans="1:6" hidden="1" x14ac:dyDescent="0.25">
      <c r="A43" s="21" t="s">
        <v>70</v>
      </c>
      <c r="B43" s="21" t="s">
        <v>71</v>
      </c>
      <c r="C43" s="95">
        <v>0</v>
      </c>
      <c r="D43" s="21" t="str">
        <f>Roadway_total!E44</f>
        <v>LF</v>
      </c>
      <c r="E43" s="23"/>
      <c r="F43" s="18">
        <f t="shared" si="0"/>
        <v>0</v>
      </c>
    </row>
    <row r="44" spans="1:6" hidden="1" x14ac:dyDescent="0.25">
      <c r="A44" s="21" t="s">
        <v>72</v>
      </c>
      <c r="B44" s="21" t="s">
        <v>73</v>
      </c>
      <c r="C44" s="95">
        <v>0</v>
      </c>
      <c r="D44" s="21" t="str">
        <f>Roadway_total!E45</f>
        <v>LF</v>
      </c>
      <c r="E44" s="23"/>
      <c r="F44" s="18">
        <f t="shared" si="0"/>
        <v>0</v>
      </c>
    </row>
    <row r="45" spans="1:6" hidden="1" x14ac:dyDescent="0.25">
      <c r="A45" s="21" t="s">
        <v>74</v>
      </c>
      <c r="B45" s="21" t="s">
        <v>75</v>
      </c>
      <c r="C45" s="95">
        <v>0</v>
      </c>
      <c r="D45" s="21" t="str">
        <f>Roadway_total!E46</f>
        <v>LF</v>
      </c>
      <c r="E45" s="23"/>
      <c r="F45" s="18">
        <f t="shared" si="0"/>
        <v>0</v>
      </c>
    </row>
    <row r="46" spans="1:6" hidden="1" x14ac:dyDescent="0.25">
      <c r="A46" s="21" t="s">
        <v>76</v>
      </c>
      <c r="B46" s="21" t="s">
        <v>77</v>
      </c>
      <c r="C46" s="95">
        <v>0</v>
      </c>
      <c r="D46" s="21" t="str">
        <f>Roadway_total!E47</f>
        <v>GM</v>
      </c>
      <c r="E46" s="23"/>
      <c r="F46" s="18">
        <f t="shared" si="0"/>
        <v>0</v>
      </c>
    </row>
    <row r="47" spans="1:6" hidden="1" x14ac:dyDescent="0.25">
      <c r="A47" s="21" t="s">
        <v>78</v>
      </c>
      <c r="B47" s="21" t="s">
        <v>79</v>
      </c>
      <c r="C47" s="95">
        <v>0</v>
      </c>
      <c r="D47" s="21" t="str">
        <f>Roadway_total!E48</f>
        <v>EA</v>
      </c>
      <c r="E47" s="23"/>
      <c r="F47" s="18">
        <f t="shared" si="0"/>
        <v>0</v>
      </c>
    </row>
    <row r="48" spans="1:6" hidden="1" x14ac:dyDescent="0.25">
      <c r="A48" s="21" t="s">
        <v>80</v>
      </c>
      <c r="B48" s="21" t="s">
        <v>81</v>
      </c>
      <c r="C48" s="95">
        <v>0</v>
      </c>
      <c r="D48" s="21" t="str">
        <f>Roadway_total!E49</f>
        <v>EA</v>
      </c>
      <c r="E48" s="23"/>
      <c r="F48" s="18">
        <f t="shared" si="0"/>
        <v>0</v>
      </c>
    </row>
    <row r="49" spans="1:6" hidden="1" x14ac:dyDescent="0.25">
      <c r="A49" s="21" t="s">
        <v>82</v>
      </c>
      <c r="B49" s="21" t="s">
        <v>83</v>
      </c>
      <c r="C49" s="95">
        <v>0</v>
      </c>
      <c r="D49" s="21" t="str">
        <f>Roadway_total!E50</f>
        <v>GM</v>
      </c>
      <c r="E49" s="23"/>
      <c r="F49" s="18">
        <f t="shared" si="0"/>
        <v>0</v>
      </c>
    </row>
    <row r="50" spans="1:6" hidden="1" x14ac:dyDescent="0.25">
      <c r="A50" s="21" t="s">
        <v>84</v>
      </c>
      <c r="B50" s="21" t="s">
        <v>85</v>
      </c>
      <c r="C50" s="95">
        <v>0</v>
      </c>
      <c r="D50" s="21" t="str">
        <f>Roadway_total!E51</f>
        <v>LF</v>
      </c>
      <c r="E50" s="23"/>
      <c r="F50" s="18">
        <f t="shared" si="0"/>
        <v>0</v>
      </c>
    </row>
    <row r="51" spans="1:6" hidden="1" x14ac:dyDescent="0.25">
      <c r="A51" s="21" t="s">
        <v>86</v>
      </c>
      <c r="B51" s="21" t="s">
        <v>87</v>
      </c>
      <c r="C51" s="95">
        <v>0</v>
      </c>
      <c r="D51" s="21" t="str">
        <f>Roadway_total!E52</f>
        <v>GM</v>
      </c>
      <c r="E51" s="23"/>
      <c r="F51" s="18">
        <f t="shared" si="0"/>
        <v>0</v>
      </c>
    </row>
    <row r="52" spans="1:6" hidden="1" x14ac:dyDescent="0.25">
      <c r="A52" s="21" t="s">
        <v>88</v>
      </c>
      <c r="B52" s="21" t="s">
        <v>89</v>
      </c>
      <c r="C52" s="95">
        <v>0</v>
      </c>
      <c r="D52" s="21" t="str">
        <f>Roadway_total!E53</f>
        <v>GM</v>
      </c>
      <c r="E52" s="23"/>
      <c r="F52" s="18">
        <f t="shared" si="0"/>
        <v>0</v>
      </c>
    </row>
    <row r="53" spans="1:6" hidden="1" x14ac:dyDescent="0.25">
      <c r="A53" s="21" t="s">
        <v>90</v>
      </c>
      <c r="B53" s="21" t="s">
        <v>91</v>
      </c>
      <c r="C53" s="95">
        <v>0</v>
      </c>
      <c r="D53" s="21" t="str">
        <f>Roadway_total!E54</f>
        <v>SF</v>
      </c>
      <c r="E53" s="23"/>
      <c r="F53" s="18">
        <f t="shared" si="0"/>
        <v>0</v>
      </c>
    </row>
    <row r="54" spans="1:6" hidden="1" x14ac:dyDescent="0.25">
      <c r="A54" s="21" t="s">
        <v>92</v>
      </c>
      <c r="B54" s="21" t="s">
        <v>93</v>
      </c>
      <c r="C54" s="95">
        <v>0</v>
      </c>
      <c r="D54" s="21" t="str">
        <f>Roadway_total!E55</f>
        <v>LS</v>
      </c>
      <c r="E54" s="23"/>
      <c r="F54" s="18">
        <f t="shared" si="0"/>
        <v>0</v>
      </c>
    </row>
    <row r="55" spans="1:6" hidden="1" x14ac:dyDescent="0.25">
      <c r="A55" s="21" t="s">
        <v>94</v>
      </c>
      <c r="B55" s="21" t="s">
        <v>95</v>
      </c>
      <c r="C55" s="95">
        <v>0</v>
      </c>
      <c r="D55" s="21" t="str">
        <f>Roadway_total!E56</f>
        <v>AS</v>
      </c>
      <c r="E55" s="23"/>
      <c r="F55" s="18">
        <f t="shared" si="0"/>
        <v>0</v>
      </c>
    </row>
    <row r="56" spans="1:6" hidden="1" x14ac:dyDescent="0.25">
      <c r="A56" s="21" t="s">
        <v>97</v>
      </c>
      <c r="B56" s="21" t="s">
        <v>98</v>
      </c>
      <c r="C56" s="95">
        <v>0</v>
      </c>
      <c r="D56" s="21" t="str">
        <f>Roadway_total!E57</f>
        <v>AS</v>
      </c>
      <c r="E56" s="23"/>
      <c r="F56" s="18">
        <f t="shared" si="0"/>
        <v>0</v>
      </c>
    </row>
    <row r="57" spans="1:6" hidden="1" x14ac:dyDescent="0.25">
      <c r="A57" s="21" t="s">
        <v>99</v>
      </c>
      <c r="B57" s="21" t="s">
        <v>100</v>
      </c>
      <c r="C57" s="95">
        <v>0</v>
      </c>
      <c r="D57" s="21" t="str">
        <f>Roadway_total!E58</f>
        <v>AS</v>
      </c>
      <c r="E57" s="23"/>
      <c r="F57" s="18">
        <f t="shared" si="0"/>
        <v>0</v>
      </c>
    </row>
    <row r="58" spans="1:6" hidden="1" x14ac:dyDescent="0.25">
      <c r="A58" s="21" t="s">
        <v>101</v>
      </c>
      <c r="B58" s="21" t="s">
        <v>102</v>
      </c>
      <c r="C58" s="95">
        <v>0</v>
      </c>
      <c r="D58" s="21" t="str">
        <f>Roadway_total!E59</f>
        <v>AS</v>
      </c>
      <c r="E58" s="23"/>
      <c r="F58" s="18">
        <f t="shared" si="0"/>
        <v>0</v>
      </c>
    </row>
    <row r="59" spans="1:6" hidden="1" x14ac:dyDescent="0.25">
      <c r="A59" s="22" t="s">
        <v>264</v>
      </c>
      <c r="B59" s="21" t="s">
        <v>103</v>
      </c>
      <c r="C59" s="95">
        <v>0</v>
      </c>
      <c r="D59" s="21" t="str">
        <f>Roadway_total!E60</f>
        <v>EA</v>
      </c>
      <c r="E59" s="23"/>
      <c r="F59" s="18">
        <f t="shared" si="0"/>
        <v>0</v>
      </c>
    </row>
    <row r="60" spans="1:6" hidden="1" x14ac:dyDescent="0.25">
      <c r="A60" s="22" t="s">
        <v>264</v>
      </c>
      <c r="B60" s="21" t="s">
        <v>104</v>
      </c>
      <c r="C60" s="95">
        <v>0</v>
      </c>
      <c r="D60" s="21" t="str">
        <f>Roadway_total!E61</f>
        <v>EA</v>
      </c>
      <c r="E60" s="23"/>
      <c r="F60" s="18">
        <f t="shared" si="0"/>
        <v>0</v>
      </c>
    </row>
    <row r="61" spans="1:6" ht="15.75" hidden="1" thickBot="1" x14ac:dyDescent="0.3">
      <c r="A61" s="22" t="s">
        <v>264</v>
      </c>
      <c r="B61" s="21" t="s">
        <v>105</v>
      </c>
      <c r="C61" s="95">
        <v>0</v>
      </c>
      <c r="D61" s="21" t="s">
        <v>330</v>
      </c>
      <c r="E61" s="23"/>
      <c r="F61" s="18">
        <f t="shared" si="0"/>
        <v>0</v>
      </c>
    </row>
    <row r="62" spans="1:6" x14ac:dyDescent="0.25">
      <c r="A62" s="133" t="s">
        <v>8</v>
      </c>
      <c r="B62" s="24" t="s">
        <v>9</v>
      </c>
      <c r="C62" s="10" t="s">
        <v>4</v>
      </c>
      <c r="D62" s="10" t="s">
        <v>0</v>
      </c>
      <c r="E62" s="25" t="s">
        <v>6</v>
      </c>
      <c r="F62" s="25" t="s">
        <v>7</v>
      </c>
    </row>
    <row r="63" spans="1:6" x14ac:dyDescent="0.25">
      <c r="A63" s="65" t="s">
        <v>122</v>
      </c>
      <c r="B63" s="71" t="s">
        <v>123</v>
      </c>
      <c r="C63" s="86">
        <v>1653</v>
      </c>
      <c r="D63" s="68" t="s">
        <v>1</v>
      </c>
      <c r="E63" s="148"/>
      <c r="F63" s="70">
        <f>SUM(C63*E63)</f>
        <v>0</v>
      </c>
    </row>
    <row r="64" spans="1:6" x14ac:dyDescent="0.25">
      <c r="A64" s="65" t="s">
        <v>124</v>
      </c>
      <c r="B64" s="71" t="s">
        <v>125</v>
      </c>
      <c r="C64" s="86">
        <v>520</v>
      </c>
      <c r="D64" s="68" t="s">
        <v>1</v>
      </c>
      <c r="E64" s="148"/>
      <c r="F64" s="70">
        <f t="shared" ref="F64:F109" si="3">SUM(C64*E64)</f>
        <v>0</v>
      </c>
    </row>
    <row r="65" spans="1:8" x14ac:dyDescent="0.25">
      <c r="A65" s="65" t="s">
        <v>126</v>
      </c>
      <c r="B65" s="71" t="s">
        <v>342</v>
      </c>
      <c r="C65" s="86">
        <v>1</v>
      </c>
      <c r="D65" s="68" t="s">
        <v>127</v>
      </c>
      <c r="E65" s="148"/>
      <c r="F65" s="70">
        <f t="shared" si="3"/>
        <v>0</v>
      </c>
      <c r="H65" s="2"/>
    </row>
    <row r="66" spans="1:8" s="2" customFormat="1" x14ac:dyDescent="0.25">
      <c r="A66" s="121" t="s">
        <v>352</v>
      </c>
      <c r="B66" s="71" t="s">
        <v>353</v>
      </c>
      <c r="C66" s="86">
        <v>6221</v>
      </c>
      <c r="D66" s="68" t="s">
        <v>1</v>
      </c>
      <c r="E66" s="148"/>
      <c r="F66" s="70">
        <f t="shared" si="3"/>
        <v>0</v>
      </c>
      <c r="G66"/>
    </row>
    <row r="67" spans="1:8" s="2" customFormat="1" x14ac:dyDescent="0.25">
      <c r="A67" s="65" t="s">
        <v>128</v>
      </c>
      <c r="B67" s="71" t="s">
        <v>129</v>
      </c>
      <c r="C67" s="86">
        <v>5180</v>
      </c>
      <c r="D67" s="68" t="s">
        <v>1</v>
      </c>
      <c r="E67" s="148"/>
      <c r="F67" s="70">
        <f t="shared" si="3"/>
        <v>0</v>
      </c>
      <c r="G67"/>
      <c r="H67"/>
    </row>
    <row r="68" spans="1:8" s="2" customFormat="1" x14ac:dyDescent="0.25">
      <c r="A68" s="65" t="s">
        <v>130</v>
      </c>
      <c r="B68" s="71" t="s">
        <v>131</v>
      </c>
      <c r="C68" s="86">
        <v>4</v>
      </c>
      <c r="D68" s="68" t="s">
        <v>12</v>
      </c>
      <c r="E68" s="148"/>
      <c r="F68" s="70">
        <f t="shared" si="3"/>
        <v>0</v>
      </c>
      <c r="G68"/>
      <c r="H68"/>
    </row>
    <row r="69" spans="1:8" s="2" customFormat="1" x14ac:dyDescent="0.25">
      <c r="A69" s="65" t="s">
        <v>132</v>
      </c>
      <c r="B69" s="71" t="s">
        <v>133</v>
      </c>
      <c r="C69" s="86">
        <v>12</v>
      </c>
      <c r="D69" s="68" t="s">
        <v>12</v>
      </c>
      <c r="E69" s="148"/>
      <c r="F69" s="70">
        <f t="shared" si="3"/>
        <v>0</v>
      </c>
      <c r="G69"/>
      <c r="H69"/>
    </row>
    <row r="70" spans="1:8" x14ac:dyDescent="0.25">
      <c r="A70" s="65" t="s">
        <v>134</v>
      </c>
      <c r="B70" s="71" t="s">
        <v>135</v>
      </c>
      <c r="C70" s="86">
        <v>2</v>
      </c>
      <c r="D70" s="68" t="s">
        <v>12</v>
      </c>
      <c r="E70" s="148"/>
      <c r="F70" s="70">
        <f t="shared" si="3"/>
        <v>0</v>
      </c>
    </row>
    <row r="71" spans="1:8" x14ac:dyDescent="0.25">
      <c r="A71" s="65" t="s">
        <v>136</v>
      </c>
      <c r="B71" s="71" t="s">
        <v>137</v>
      </c>
      <c r="C71" s="86">
        <v>1</v>
      </c>
      <c r="D71" s="68" t="s">
        <v>12</v>
      </c>
      <c r="E71" s="148"/>
      <c r="F71" s="70">
        <f t="shared" si="3"/>
        <v>0</v>
      </c>
    </row>
    <row r="72" spans="1:8" x14ac:dyDescent="0.25">
      <c r="A72" s="65" t="s">
        <v>374</v>
      </c>
      <c r="B72" s="71" t="s">
        <v>375</v>
      </c>
      <c r="C72" s="86">
        <v>1</v>
      </c>
      <c r="D72" s="68" t="s">
        <v>12</v>
      </c>
      <c r="E72" s="148"/>
      <c r="F72" s="70">
        <f t="shared" si="3"/>
        <v>0</v>
      </c>
    </row>
    <row r="73" spans="1:8" x14ac:dyDescent="0.25">
      <c r="A73" s="65" t="s">
        <v>138</v>
      </c>
      <c r="B73" s="71" t="s">
        <v>139</v>
      </c>
      <c r="C73" s="86">
        <v>1</v>
      </c>
      <c r="D73" s="68" t="s">
        <v>12</v>
      </c>
      <c r="E73" s="148"/>
      <c r="F73" s="70">
        <f t="shared" si="3"/>
        <v>0</v>
      </c>
    </row>
    <row r="74" spans="1:8" x14ac:dyDescent="0.25">
      <c r="A74" s="65" t="s">
        <v>140</v>
      </c>
      <c r="B74" s="71" t="s">
        <v>141</v>
      </c>
      <c r="C74" s="86">
        <v>1</v>
      </c>
      <c r="D74" s="68" t="s">
        <v>12</v>
      </c>
      <c r="E74" s="148"/>
      <c r="F74" s="70">
        <f t="shared" si="3"/>
        <v>0</v>
      </c>
    </row>
    <row r="75" spans="1:8" x14ac:dyDescent="0.25">
      <c r="A75" s="65" t="s">
        <v>142</v>
      </c>
      <c r="B75" s="71" t="s">
        <v>143</v>
      </c>
      <c r="C75" s="86">
        <v>12</v>
      </c>
      <c r="D75" s="69" t="s">
        <v>12</v>
      </c>
      <c r="E75" s="148"/>
      <c r="F75" s="70">
        <f t="shared" si="3"/>
        <v>0</v>
      </c>
    </row>
    <row r="76" spans="1:8" x14ac:dyDescent="0.25">
      <c r="A76" s="65" t="s">
        <v>144</v>
      </c>
      <c r="B76" s="71" t="s">
        <v>145</v>
      </c>
      <c r="C76" s="86">
        <v>2</v>
      </c>
      <c r="D76" s="69" t="s">
        <v>12</v>
      </c>
      <c r="E76" s="148"/>
      <c r="F76" s="70">
        <f t="shared" si="3"/>
        <v>0</v>
      </c>
    </row>
    <row r="77" spans="1:8" x14ac:dyDescent="0.25">
      <c r="A77" s="121" t="s">
        <v>377</v>
      </c>
      <c r="B77" s="71" t="s">
        <v>378</v>
      </c>
      <c r="C77" s="86">
        <v>1</v>
      </c>
      <c r="D77" s="69" t="s">
        <v>12</v>
      </c>
      <c r="E77" s="148"/>
      <c r="F77" s="70">
        <f t="shared" si="3"/>
        <v>0</v>
      </c>
    </row>
    <row r="78" spans="1:8" x14ac:dyDescent="0.25">
      <c r="A78" s="65" t="s">
        <v>146</v>
      </c>
      <c r="B78" s="71" t="s">
        <v>341</v>
      </c>
      <c r="C78" s="86">
        <v>1</v>
      </c>
      <c r="D78" s="69" t="s">
        <v>96</v>
      </c>
      <c r="E78" s="148"/>
      <c r="F78" s="70">
        <f t="shared" si="3"/>
        <v>0</v>
      </c>
    </row>
    <row r="79" spans="1:8" x14ac:dyDescent="0.25">
      <c r="A79" s="121" t="s">
        <v>349</v>
      </c>
      <c r="B79" s="71" t="s">
        <v>350</v>
      </c>
      <c r="C79" s="86">
        <v>1</v>
      </c>
      <c r="D79" s="69" t="s">
        <v>12</v>
      </c>
      <c r="E79" s="148"/>
      <c r="F79" s="70">
        <f t="shared" si="3"/>
        <v>0</v>
      </c>
    </row>
    <row r="80" spans="1:8" x14ac:dyDescent="0.25">
      <c r="A80" s="65" t="s">
        <v>147</v>
      </c>
      <c r="B80" s="71" t="s">
        <v>148</v>
      </c>
      <c r="C80" s="86">
        <v>1</v>
      </c>
      <c r="D80" s="69" t="s">
        <v>12</v>
      </c>
      <c r="E80" s="148"/>
      <c r="F80" s="70">
        <f t="shared" si="3"/>
        <v>0</v>
      </c>
    </row>
    <row r="81" spans="1:6" x14ac:dyDescent="0.25">
      <c r="A81" s="65" t="s">
        <v>149</v>
      </c>
      <c r="B81" s="71" t="s">
        <v>150</v>
      </c>
      <c r="C81" s="86">
        <v>2</v>
      </c>
      <c r="D81" s="69" t="s">
        <v>12</v>
      </c>
      <c r="E81" s="148"/>
      <c r="F81" s="70">
        <f t="shared" si="3"/>
        <v>0</v>
      </c>
    </row>
    <row r="82" spans="1:6" x14ac:dyDescent="0.25">
      <c r="A82" s="65" t="s">
        <v>151</v>
      </c>
      <c r="B82" s="72" t="s">
        <v>152</v>
      </c>
      <c r="C82" s="86">
        <v>5</v>
      </c>
      <c r="D82" s="69" t="s">
        <v>12</v>
      </c>
      <c r="E82" s="148"/>
      <c r="F82" s="70">
        <f t="shared" si="3"/>
        <v>0</v>
      </c>
    </row>
    <row r="83" spans="1:6" x14ac:dyDescent="0.25">
      <c r="A83" s="65" t="s">
        <v>153</v>
      </c>
      <c r="B83" s="72" t="s">
        <v>340</v>
      </c>
      <c r="C83" s="86">
        <v>2</v>
      </c>
      <c r="D83" s="69" t="s">
        <v>12</v>
      </c>
      <c r="E83" s="148"/>
      <c r="F83" s="70">
        <f t="shared" si="3"/>
        <v>0</v>
      </c>
    </row>
    <row r="84" spans="1:6" x14ac:dyDescent="0.25">
      <c r="A84" s="121" t="s">
        <v>380</v>
      </c>
      <c r="B84" s="72" t="s">
        <v>381</v>
      </c>
      <c r="C84" s="86">
        <v>2</v>
      </c>
      <c r="D84" s="69" t="s">
        <v>12</v>
      </c>
      <c r="E84" s="148"/>
      <c r="F84" s="70">
        <f t="shared" si="3"/>
        <v>0</v>
      </c>
    </row>
    <row r="85" spans="1:6" x14ac:dyDescent="0.25">
      <c r="A85" s="65" t="s">
        <v>154</v>
      </c>
      <c r="B85" s="71" t="s">
        <v>155</v>
      </c>
      <c r="C85" s="86">
        <v>8</v>
      </c>
      <c r="D85" s="69" t="s">
        <v>12</v>
      </c>
      <c r="E85" s="148"/>
      <c r="F85" s="70">
        <f t="shared" si="3"/>
        <v>0</v>
      </c>
    </row>
    <row r="86" spans="1:6" x14ac:dyDescent="0.25">
      <c r="A86" s="65" t="s">
        <v>156</v>
      </c>
      <c r="B86" s="72" t="s">
        <v>339</v>
      </c>
      <c r="C86" s="86">
        <v>1</v>
      </c>
      <c r="D86" s="69" t="s">
        <v>12</v>
      </c>
      <c r="E86" s="148"/>
      <c r="F86" s="70">
        <f t="shared" si="3"/>
        <v>0</v>
      </c>
    </row>
    <row r="87" spans="1:6" x14ac:dyDescent="0.25">
      <c r="A87" s="65" t="s">
        <v>157</v>
      </c>
      <c r="B87" s="72" t="s">
        <v>338</v>
      </c>
      <c r="C87" s="86">
        <v>2</v>
      </c>
      <c r="D87" s="69" t="s">
        <v>12</v>
      </c>
      <c r="E87" s="148"/>
      <c r="F87" s="70">
        <f t="shared" si="3"/>
        <v>0</v>
      </c>
    </row>
    <row r="88" spans="1:6" x14ac:dyDescent="0.25">
      <c r="A88" s="65" t="s">
        <v>158</v>
      </c>
      <c r="B88" s="72" t="s">
        <v>337</v>
      </c>
      <c r="C88" s="86">
        <v>1</v>
      </c>
      <c r="D88" s="69" t="s">
        <v>12</v>
      </c>
      <c r="E88" s="148"/>
      <c r="F88" s="70">
        <f t="shared" si="3"/>
        <v>0</v>
      </c>
    </row>
    <row r="89" spans="1:6" x14ac:dyDescent="0.25">
      <c r="A89" s="67" t="s">
        <v>385</v>
      </c>
      <c r="B89" s="66" t="s">
        <v>382</v>
      </c>
      <c r="C89" s="86">
        <v>4</v>
      </c>
      <c r="D89" s="87" t="s">
        <v>96</v>
      </c>
      <c r="E89" s="148"/>
      <c r="F89" s="70">
        <f t="shared" si="3"/>
        <v>0</v>
      </c>
    </row>
    <row r="90" spans="1:6" x14ac:dyDescent="0.25">
      <c r="A90" s="67" t="s">
        <v>386</v>
      </c>
      <c r="B90" s="66" t="s">
        <v>383</v>
      </c>
      <c r="C90" s="86">
        <v>4</v>
      </c>
      <c r="D90" s="87" t="s">
        <v>96</v>
      </c>
      <c r="E90" s="148"/>
      <c r="F90" s="70">
        <f t="shared" si="3"/>
        <v>0</v>
      </c>
    </row>
    <row r="91" spans="1:6" x14ac:dyDescent="0.25">
      <c r="A91" s="67" t="s">
        <v>387</v>
      </c>
      <c r="B91" s="66" t="s">
        <v>384</v>
      </c>
      <c r="C91" s="86">
        <v>4</v>
      </c>
      <c r="D91" s="87" t="s">
        <v>96</v>
      </c>
      <c r="E91" s="148"/>
      <c r="F91" s="70">
        <f t="shared" si="3"/>
        <v>0</v>
      </c>
    </row>
    <row r="92" spans="1:6" x14ac:dyDescent="0.25">
      <c r="A92" s="67" t="s">
        <v>159</v>
      </c>
      <c r="B92" s="66" t="s">
        <v>336</v>
      </c>
      <c r="C92" s="86">
        <v>6</v>
      </c>
      <c r="D92" s="87" t="s">
        <v>96</v>
      </c>
      <c r="E92" s="148"/>
      <c r="F92" s="70">
        <f t="shared" si="3"/>
        <v>0</v>
      </c>
    </row>
    <row r="93" spans="1:6" x14ac:dyDescent="0.25">
      <c r="A93" s="67" t="s">
        <v>304</v>
      </c>
      <c r="B93" s="66" t="s">
        <v>335</v>
      </c>
      <c r="C93" s="86">
        <v>1</v>
      </c>
      <c r="D93" s="87" t="s">
        <v>96</v>
      </c>
      <c r="E93" s="148"/>
      <c r="F93" s="70">
        <f t="shared" si="3"/>
        <v>0</v>
      </c>
    </row>
    <row r="94" spans="1:6" x14ac:dyDescent="0.25">
      <c r="A94" s="67" t="s">
        <v>305</v>
      </c>
      <c r="B94" s="66" t="s">
        <v>343</v>
      </c>
      <c r="C94" s="86">
        <v>0</v>
      </c>
      <c r="D94" s="87" t="s">
        <v>12</v>
      </c>
      <c r="E94" s="148"/>
      <c r="F94" s="70">
        <f t="shared" si="3"/>
        <v>0</v>
      </c>
    </row>
    <row r="95" spans="1:6" ht="15.75" customHeight="1" x14ac:dyDescent="0.25">
      <c r="A95" s="67" t="s">
        <v>160</v>
      </c>
      <c r="B95" s="66" t="s">
        <v>333</v>
      </c>
      <c r="C95" s="86">
        <v>2</v>
      </c>
      <c r="D95" s="87" t="s">
        <v>12</v>
      </c>
      <c r="E95" s="148"/>
      <c r="F95" s="70">
        <f t="shared" si="3"/>
        <v>0</v>
      </c>
    </row>
    <row r="96" spans="1:6" x14ac:dyDescent="0.25">
      <c r="A96" s="67" t="s">
        <v>161</v>
      </c>
      <c r="B96" s="66" t="s">
        <v>332</v>
      </c>
      <c r="C96" s="86">
        <v>9</v>
      </c>
      <c r="D96" s="87" t="s">
        <v>12</v>
      </c>
      <c r="E96" s="148"/>
      <c r="F96" s="70">
        <f t="shared" si="3"/>
        <v>0</v>
      </c>
    </row>
    <row r="97" spans="1:6" x14ac:dyDescent="0.25">
      <c r="A97" s="67" t="s">
        <v>162</v>
      </c>
      <c r="B97" s="66" t="s">
        <v>163</v>
      </c>
      <c r="C97" s="86">
        <v>0</v>
      </c>
      <c r="D97" s="87" t="s">
        <v>12</v>
      </c>
      <c r="E97" s="148"/>
      <c r="F97" s="70">
        <f t="shared" si="3"/>
        <v>0</v>
      </c>
    </row>
    <row r="98" spans="1:6" x14ac:dyDescent="0.25">
      <c r="A98" s="67" t="s">
        <v>164</v>
      </c>
      <c r="B98" s="66" t="s">
        <v>165</v>
      </c>
      <c r="C98" s="86">
        <v>0</v>
      </c>
      <c r="D98" s="87" t="s">
        <v>12</v>
      </c>
      <c r="E98" s="148"/>
      <c r="F98" s="70">
        <f t="shared" si="3"/>
        <v>0</v>
      </c>
    </row>
    <row r="99" spans="1:6" x14ac:dyDescent="0.25">
      <c r="A99" s="67" t="s">
        <v>166</v>
      </c>
      <c r="B99" s="66" t="s">
        <v>167</v>
      </c>
      <c r="C99" s="86">
        <v>8</v>
      </c>
      <c r="D99" s="87" t="s">
        <v>12</v>
      </c>
      <c r="E99" s="148"/>
      <c r="F99" s="70">
        <f t="shared" si="3"/>
        <v>0</v>
      </c>
    </row>
    <row r="100" spans="1:6" x14ac:dyDescent="0.25">
      <c r="A100" s="67" t="s">
        <v>168</v>
      </c>
      <c r="B100" s="66" t="s">
        <v>169</v>
      </c>
      <c r="C100" s="86">
        <v>1</v>
      </c>
      <c r="D100" s="87" t="s">
        <v>96</v>
      </c>
      <c r="E100" s="148"/>
      <c r="F100" s="70">
        <f t="shared" si="3"/>
        <v>0</v>
      </c>
    </row>
    <row r="101" spans="1:6" x14ac:dyDescent="0.25">
      <c r="A101" s="67" t="s">
        <v>170</v>
      </c>
      <c r="B101" s="66" t="s">
        <v>171</v>
      </c>
      <c r="C101" s="86">
        <v>1</v>
      </c>
      <c r="D101" s="87" t="s">
        <v>96</v>
      </c>
      <c r="E101" s="148"/>
      <c r="F101" s="70">
        <f t="shared" si="3"/>
        <v>0</v>
      </c>
    </row>
    <row r="102" spans="1:6" x14ac:dyDescent="0.25">
      <c r="A102" s="67" t="s">
        <v>172</v>
      </c>
      <c r="B102" s="66" t="s">
        <v>173</v>
      </c>
      <c r="C102" s="86">
        <v>1</v>
      </c>
      <c r="D102" s="87" t="s">
        <v>12</v>
      </c>
      <c r="E102" s="148"/>
      <c r="F102" s="70">
        <f t="shared" si="3"/>
        <v>0</v>
      </c>
    </row>
    <row r="103" spans="1:6" x14ac:dyDescent="0.25">
      <c r="A103" s="67" t="s">
        <v>174</v>
      </c>
      <c r="B103" s="66" t="s">
        <v>175</v>
      </c>
      <c r="C103" s="86">
        <v>1</v>
      </c>
      <c r="D103" s="87" t="s">
        <v>12</v>
      </c>
      <c r="E103" s="148"/>
      <c r="F103" s="70">
        <f t="shared" si="3"/>
        <v>0</v>
      </c>
    </row>
    <row r="104" spans="1:6" x14ac:dyDescent="0.25">
      <c r="A104" s="67" t="s">
        <v>176</v>
      </c>
      <c r="B104" s="66" t="s">
        <v>177</v>
      </c>
      <c r="C104" s="86">
        <v>0</v>
      </c>
      <c r="D104" s="87" t="s">
        <v>12</v>
      </c>
      <c r="E104" s="148"/>
      <c r="F104" s="70">
        <f t="shared" si="3"/>
        <v>0</v>
      </c>
    </row>
    <row r="105" spans="1:6" x14ac:dyDescent="0.25">
      <c r="A105" s="67" t="s">
        <v>388</v>
      </c>
      <c r="B105" s="66" t="s">
        <v>389</v>
      </c>
      <c r="C105" s="86">
        <v>1</v>
      </c>
      <c r="D105" s="87" t="s">
        <v>12</v>
      </c>
      <c r="E105" s="148"/>
      <c r="F105" s="70">
        <f t="shared" si="3"/>
        <v>0</v>
      </c>
    </row>
    <row r="106" spans="1:6" x14ac:dyDescent="0.25">
      <c r="A106" s="67" t="s">
        <v>390</v>
      </c>
      <c r="B106" s="66" t="s">
        <v>391</v>
      </c>
      <c r="C106" s="86">
        <v>1</v>
      </c>
      <c r="D106" s="87" t="s">
        <v>12</v>
      </c>
      <c r="E106" s="148"/>
      <c r="F106" s="70">
        <f t="shared" si="3"/>
        <v>0</v>
      </c>
    </row>
    <row r="107" spans="1:6" x14ac:dyDescent="0.25">
      <c r="A107" s="67" t="s">
        <v>392</v>
      </c>
      <c r="B107" s="66" t="s">
        <v>393</v>
      </c>
      <c r="C107" s="86">
        <v>4</v>
      </c>
      <c r="D107" s="87" t="s">
        <v>12</v>
      </c>
      <c r="E107" s="148"/>
      <c r="F107" s="70">
        <f t="shared" si="3"/>
        <v>0</v>
      </c>
    </row>
    <row r="108" spans="1:6" x14ac:dyDescent="0.25">
      <c r="A108" s="67">
        <v>700141360</v>
      </c>
      <c r="B108" s="66" t="s">
        <v>351</v>
      </c>
      <c r="C108" s="86">
        <v>4</v>
      </c>
      <c r="D108" s="87" t="s">
        <v>96</v>
      </c>
      <c r="E108" s="148"/>
      <c r="F108" s="70">
        <f t="shared" si="3"/>
        <v>0</v>
      </c>
    </row>
    <row r="109" spans="1:6" x14ac:dyDescent="0.25">
      <c r="A109" s="67" t="s">
        <v>178</v>
      </c>
      <c r="B109" s="66" t="s">
        <v>179</v>
      </c>
      <c r="C109" s="86">
        <v>4</v>
      </c>
      <c r="D109" s="87" t="s">
        <v>12</v>
      </c>
      <c r="E109" s="148"/>
      <c r="F109" s="70">
        <f t="shared" si="3"/>
        <v>0</v>
      </c>
    </row>
    <row r="110" spans="1:6" x14ac:dyDescent="0.25">
      <c r="A110" s="67"/>
      <c r="B110" s="66" t="s">
        <v>180</v>
      </c>
      <c r="E110" s="149"/>
      <c r="F110" s="70"/>
    </row>
    <row r="111" spans="1:6" ht="20.100000000000001" customHeight="1" x14ac:dyDescent="0.25">
      <c r="A111" s="105"/>
      <c r="B111" s="205" t="s">
        <v>422</v>
      </c>
      <c r="C111" s="205"/>
      <c r="D111" s="205"/>
      <c r="E111" s="205"/>
      <c r="F111" s="145"/>
    </row>
    <row r="112" spans="1:6" ht="20.100000000000001" customHeight="1" thickBot="1" x14ac:dyDescent="0.3">
      <c r="A112" s="105"/>
      <c r="B112" s="205" t="s">
        <v>418</v>
      </c>
      <c r="C112" s="205"/>
      <c r="D112" s="205"/>
      <c r="E112" s="205"/>
      <c r="F112" s="146"/>
    </row>
    <row r="113" spans="1:6" ht="20.100000000000001" customHeight="1" thickBot="1" x14ac:dyDescent="0.3">
      <c r="A113" s="105"/>
      <c r="B113" s="205" t="s">
        <v>423</v>
      </c>
      <c r="C113" s="205"/>
      <c r="D113" s="205"/>
      <c r="E113" s="206"/>
      <c r="F113" s="147"/>
    </row>
    <row r="114" spans="1:6" x14ac:dyDescent="0.25">
      <c r="A114" s="73"/>
    </row>
    <row r="115" spans="1:6" x14ac:dyDescent="0.25">
      <c r="A115" s="73"/>
    </row>
    <row r="116" spans="1:6" x14ac:dyDescent="0.25">
      <c r="A116" s="73"/>
    </row>
    <row r="117" spans="1:6" x14ac:dyDescent="0.25">
      <c r="A117" s="73"/>
    </row>
    <row r="118" spans="1:6" x14ac:dyDescent="0.25">
      <c r="A118" s="74"/>
    </row>
    <row r="119" spans="1:6" x14ac:dyDescent="0.25">
      <c r="A119" s="73"/>
    </row>
    <row r="120" spans="1:6" x14ac:dyDescent="0.25">
      <c r="A120" s="75"/>
    </row>
    <row r="121" spans="1:6" x14ac:dyDescent="0.25">
      <c r="A121" s="75"/>
    </row>
  </sheetData>
  <sheetProtection algorithmName="SHA-512" hashValue="KybZLWSOlFqmy5GIaMmwbRRH61h9Mzj+wq5gi7Y7ysI1qymcWvp5vE3PazfvMzYpcKBFiIeNslupEdnHivQ1AQ==" saltValue="HIIFw5K1L3BI2ovU81P0LQ==" spinCount="100000" sheet="1" objects="1" scenarios="1" selectLockedCells="1"/>
  <mergeCells count="9">
    <mergeCell ref="B111:E111"/>
    <mergeCell ref="B112:E112"/>
    <mergeCell ref="B113:E113"/>
    <mergeCell ref="A6:F6"/>
    <mergeCell ref="A1:F1"/>
    <mergeCell ref="A2:F2"/>
    <mergeCell ref="A3:F3"/>
    <mergeCell ref="A4:F4"/>
    <mergeCell ref="A5:F5"/>
  </mergeCells>
  <phoneticPr fontId="21" type="noConversion"/>
  <pageMargins left="0.25" right="0.25" top="0.75" bottom="0.75" header="0.3" footer="0.3"/>
  <pageSetup scale="80" fitToHeight="0" orientation="landscape" r:id="rId1"/>
  <headerFooter>
    <oddFooter>&amp;L&amp;D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218EC-520A-45AE-AC28-93D39A9CF7A4}">
  <sheetPr>
    <tabColor theme="4" tint="0.59999389629810485"/>
    <pageSetUpPr fitToPage="1"/>
  </sheetPr>
  <dimension ref="A1:H38"/>
  <sheetViews>
    <sheetView zoomScale="110" zoomScaleNormal="110" zoomScaleSheetLayoutView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10" sqref="F10"/>
    </sheetView>
  </sheetViews>
  <sheetFormatPr defaultRowHeight="15" x14ac:dyDescent="0.25"/>
  <cols>
    <col min="1" max="1" width="6.28515625" style="3" bestFit="1" customWidth="1"/>
    <col min="2" max="2" width="17.5703125" customWidth="1"/>
    <col min="3" max="3" width="95.85546875" customWidth="1"/>
    <col min="4" max="4" width="9.85546875" style="2" customWidth="1"/>
    <col min="5" max="5" width="6.42578125" style="3" bestFit="1" customWidth="1"/>
    <col min="6" max="6" width="18.42578125" style="180" customWidth="1"/>
    <col min="7" max="7" width="17.7109375" style="180" customWidth="1"/>
    <col min="8" max="8" width="7" customWidth="1"/>
  </cols>
  <sheetData>
    <row r="1" spans="1:7" ht="18.75" x14ac:dyDescent="0.3">
      <c r="A1" s="194" t="s">
        <v>435</v>
      </c>
      <c r="B1" s="194"/>
      <c r="C1" s="194"/>
      <c r="D1" s="194"/>
      <c r="E1" s="194"/>
      <c r="F1" s="194"/>
      <c r="G1" s="150"/>
    </row>
    <row r="2" spans="1:7" ht="18.75" x14ac:dyDescent="0.3">
      <c r="A2" s="194" t="s">
        <v>413</v>
      </c>
      <c r="B2" s="194"/>
      <c r="C2" s="194"/>
      <c r="D2" s="194"/>
      <c r="E2" s="194"/>
      <c r="F2" s="194"/>
      <c r="G2" s="38"/>
    </row>
    <row r="3" spans="1:7" ht="18.75" x14ac:dyDescent="0.3">
      <c r="A3" s="194" t="s">
        <v>414</v>
      </c>
      <c r="B3" s="194"/>
      <c r="C3" s="194"/>
      <c r="D3" s="194"/>
      <c r="E3" s="194"/>
      <c r="F3" s="194"/>
      <c r="G3" s="150"/>
    </row>
    <row r="4" spans="1:7" ht="18.75" x14ac:dyDescent="0.3">
      <c r="A4" s="194" t="s">
        <v>424</v>
      </c>
      <c r="B4" s="194"/>
      <c r="C4" s="194"/>
      <c r="D4" s="194"/>
      <c r="E4" s="194"/>
      <c r="F4" s="194"/>
      <c r="G4" s="150"/>
    </row>
    <row r="5" spans="1:7" ht="19.5" customHeight="1" thickBot="1" x14ac:dyDescent="0.35">
      <c r="A5" s="151" t="s">
        <v>421</v>
      </c>
      <c r="B5" s="151"/>
      <c r="C5" s="151"/>
      <c r="D5" s="151"/>
      <c r="E5" s="151"/>
      <c r="F5" s="151"/>
      <c r="G5" s="150"/>
    </row>
    <row r="6" spans="1:7" x14ac:dyDescent="0.25">
      <c r="A6" s="10" t="s">
        <v>10</v>
      </c>
      <c r="B6" s="24" t="s">
        <v>8</v>
      </c>
      <c r="C6" s="24" t="s">
        <v>9</v>
      </c>
      <c r="D6" s="10" t="s">
        <v>4</v>
      </c>
      <c r="E6" s="10" t="s">
        <v>0</v>
      </c>
      <c r="F6" s="152" t="s">
        <v>6</v>
      </c>
      <c r="G6" s="152" t="s">
        <v>7</v>
      </c>
    </row>
    <row r="7" spans="1:7" x14ac:dyDescent="0.25">
      <c r="A7" s="35"/>
      <c r="B7" s="51"/>
      <c r="C7" s="81"/>
      <c r="D7" s="82"/>
      <c r="E7" s="83"/>
      <c r="F7" s="153"/>
      <c r="G7" s="154"/>
    </row>
    <row r="8" spans="1:7" ht="15.75" thickBot="1" x14ac:dyDescent="0.3">
      <c r="A8" s="155"/>
      <c r="B8" s="156"/>
      <c r="C8" s="157" t="s">
        <v>261</v>
      </c>
      <c r="D8" s="158"/>
      <c r="E8" s="155"/>
      <c r="F8" s="159"/>
      <c r="G8" s="160"/>
    </row>
    <row r="9" spans="1:7" ht="15.75" thickBot="1" x14ac:dyDescent="0.3">
      <c r="A9" s="161"/>
      <c r="B9" s="162"/>
      <c r="C9" s="163" t="s">
        <v>325</v>
      </c>
      <c r="D9" s="164"/>
      <c r="E9" s="165"/>
      <c r="F9" s="166"/>
      <c r="G9" s="167"/>
    </row>
    <row r="10" spans="1:7" x14ac:dyDescent="0.25">
      <c r="A10" s="168"/>
      <c r="B10" s="169">
        <v>1</v>
      </c>
      <c r="C10" s="170" t="s">
        <v>262</v>
      </c>
      <c r="D10" s="171">
        <v>1</v>
      </c>
      <c r="E10" s="168" t="s">
        <v>66</v>
      </c>
      <c r="F10" s="181"/>
      <c r="G10" s="172">
        <f>SUM(D10*F10)</f>
        <v>0</v>
      </c>
    </row>
    <row r="11" spans="1:7" ht="30" x14ac:dyDescent="0.25">
      <c r="A11" s="16"/>
      <c r="B11" s="21">
        <f>B10+1</f>
        <v>2</v>
      </c>
      <c r="C11" s="173" t="s">
        <v>400</v>
      </c>
      <c r="D11" s="27">
        <v>4078</v>
      </c>
      <c r="E11" s="16" t="s">
        <v>1</v>
      </c>
      <c r="F11" s="182"/>
      <c r="G11" s="172">
        <f t="shared" ref="G11:G18" si="0">SUM(D11*F11)</f>
        <v>0</v>
      </c>
    </row>
    <row r="12" spans="1:7" x14ac:dyDescent="0.25">
      <c r="A12" s="16"/>
      <c r="B12" s="21">
        <f t="shared" ref="B12:B18" si="1">B11+1</f>
        <v>3</v>
      </c>
      <c r="C12" s="7" t="s">
        <v>401</v>
      </c>
      <c r="D12" s="27">
        <v>304</v>
      </c>
      <c r="E12" s="16" t="s">
        <v>1</v>
      </c>
      <c r="F12" s="182"/>
      <c r="G12" s="172">
        <f t="shared" si="0"/>
        <v>0</v>
      </c>
    </row>
    <row r="13" spans="1:7" x14ac:dyDescent="0.25">
      <c r="A13" s="16"/>
      <c r="B13" s="21">
        <f t="shared" si="1"/>
        <v>4</v>
      </c>
      <c r="C13" s="7" t="s">
        <v>402</v>
      </c>
      <c r="D13" s="27">
        <v>12</v>
      </c>
      <c r="E13" s="16" t="s">
        <v>12</v>
      </c>
      <c r="F13" s="182"/>
      <c r="G13" s="172">
        <f t="shared" si="0"/>
        <v>0</v>
      </c>
    </row>
    <row r="14" spans="1:7" x14ac:dyDescent="0.25">
      <c r="A14" s="16"/>
      <c r="B14" s="21">
        <f t="shared" si="1"/>
        <v>5</v>
      </c>
      <c r="C14" s="7" t="s">
        <v>403</v>
      </c>
      <c r="D14" s="27">
        <v>2</v>
      </c>
      <c r="E14" s="16" t="s">
        <v>12</v>
      </c>
      <c r="F14" s="182"/>
      <c r="G14" s="172">
        <f t="shared" si="0"/>
        <v>0</v>
      </c>
    </row>
    <row r="15" spans="1:7" x14ac:dyDescent="0.25">
      <c r="A15" s="16"/>
      <c r="B15" s="21">
        <f t="shared" si="1"/>
        <v>6</v>
      </c>
      <c r="C15" s="7" t="s">
        <v>404</v>
      </c>
      <c r="D15" s="27">
        <v>1</v>
      </c>
      <c r="E15" s="16" t="s">
        <v>12</v>
      </c>
      <c r="F15" s="182"/>
      <c r="G15" s="172">
        <f t="shared" si="0"/>
        <v>0</v>
      </c>
    </row>
    <row r="16" spans="1:7" x14ac:dyDescent="0.25">
      <c r="A16" s="16"/>
      <c r="B16" s="21">
        <f t="shared" si="1"/>
        <v>7</v>
      </c>
      <c r="C16" s="7" t="s">
        <v>405</v>
      </c>
      <c r="D16" s="27">
        <v>3648</v>
      </c>
      <c r="E16" s="16" t="s">
        <v>1</v>
      </c>
      <c r="F16" s="182"/>
      <c r="G16" s="172">
        <f t="shared" si="0"/>
        <v>0</v>
      </c>
    </row>
    <row r="17" spans="1:7" x14ac:dyDescent="0.25">
      <c r="A17" s="16"/>
      <c r="B17" s="21">
        <f t="shared" si="1"/>
        <v>8</v>
      </c>
      <c r="C17" s="7" t="s">
        <v>406</v>
      </c>
      <c r="D17" s="27">
        <v>1000</v>
      </c>
      <c r="E17" s="16" t="s">
        <v>2</v>
      </c>
      <c r="F17" s="182"/>
      <c r="G17" s="172">
        <f t="shared" si="0"/>
        <v>0</v>
      </c>
    </row>
    <row r="18" spans="1:7" x14ac:dyDescent="0.25">
      <c r="A18" s="16"/>
      <c r="B18" s="21">
        <f t="shared" si="1"/>
        <v>9</v>
      </c>
      <c r="C18" s="7" t="s">
        <v>407</v>
      </c>
      <c r="D18" s="27">
        <v>1</v>
      </c>
      <c r="E18" s="16" t="s">
        <v>12</v>
      </c>
      <c r="F18" s="182"/>
      <c r="G18" s="172">
        <f t="shared" si="0"/>
        <v>0</v>
      </c>
    </row>
    <row r="19" spans="1:7" ht="20.100000000000001" customHeight="1" x14ac:dyDescent="0.25">
      <c r="A19" s="16"/>
      <c r="B19" s="21"/>
      <c r="C19" s="7"/>
      <c r="D19" s="27"/>
      <c r="E19" s="16"/>
      <c r="F19" s="174" t="s">
        <v>426</v>
      </c>
      <c r="G19" s="183"/>
    </row>
    <row r="20" spans="1:7" ht="20.100000000000001" customHeight="1" thickBot="1" x14ac:dyDescent="0.3">
      <c r="A20" s="16"/>
      <c r="B20" s="21"/>
      <c r="C20" s="211" t="s">
        <v>418</v>
      </c>
      <c r="D20" s="211"/>
      <c r="E20" s="211"/>
      <c r="F20" s="211"/>
      <c r="G20" s="184"/>
    </row>
    <row r="21" spans="1:7" ht="20.100000000000001" customHeight="1" thickBot="1" x14ac:dyDescent="0.3">
      <c r="A21" s="155"/>
      <c r="B21" s="156"/>
      <c r="C21" s="175"/>
      <c r="D21" s="158"/>
      <c r="E21" s="209" t="s">
        <v>425</v>
      </c>
      <c r="F21" s="210"/>
      <c r="G21" s="185"/>
    </row>
    <row r="22" spans="1:7" ht="15.75" thickBot="1" x14ac:dyDescent="0.3">
      <c r="A22" s="161"/>
      <c r="B22" s="162"/>
      <c r="C22" s="163" t="s">
        <v>326</v>
      </c>
      <c r="D22" s="164"/>
      <c r="E22" s="176"/>
      <c r="F22" s="166"/>
      <c r="G22" s="167"/>
    </row>
    <row r="23" spans="1:7" x14ac:dyDescent="0.25">
      <c r="A23" s="168"/>
      <c r="B23" s="169">
        <f>B18+1</f>
        <v>10</v>
      </c>
      <c r="C23" s="170" t="s">
        <v>408</v>
      </c>
      <c r="D23" s="171">
        <v>1</v>
      </c>
      <c r="E23" s="177" t="s">
        <v>66</v>
      </c>
      <c r="F23" s="181"/>
      <c r="G23" s="172">
        <f>SUM(D23*F23)</f>
        <v>0</v>
      </c>
    </row>
    <row r="24" spans="1:7" ht="30" x14ac:dyDescent="0.25">
      <c r="A24" s="16"/>
      <c r="B24" s="21">
        <f t="shared" ref="B24:B28" si="2">B23+1</f>
        <v>11</v>
      </c>
      <c r="C24" s="173" t="s">
        <v>409</v>
      </c>
      <c r="D24" s="27">
        <v>850</v>
      </c>
      <c r="E24" s="178" t="s">
        <v>1</v>
      </c>
      <c r="F24" s="182"/>
      <c r="G24" s="172">
        <f t="shared" ref="G24:G28" si="3">SUM(D24*F24)</f>
        <v>0</v>
      </c>
    </row>
    <row r="25" spans="1:7" ht="30" x14ac:dyDescent="0.25">
      <c r="A25" s="16"/>
      <c r="B25" s="21">
        <f t="shared" si="2"/>
        <v>12</v>
      </c>
      <c r="C25" s="173" t="s">
        <v>410</v>
      </c>
      <c r="D25" s="27">
        <v>56</v>
      </c>
      <c r="E25" s="178" t="s">
        <v>1</v>
      </c>
      <c r="F25" s="182"/>
      <c r="G25" s="172">
        <f t="shared" si="3"/>
        <v>0</v>
      </c>
    </row>
    <row r="26" spans="1:7" x14ac:dyDescent="0.25">
      <c r="A26" s="16"/>
      <c r="B26" s="21">
        <f t="shared" si="2"/>
        <v>13</v>
      </c>
      <c r="C26" s="7" t="s">
        <v>411</v>
      </c>
      <c r="D26" s="27">
        <v>836</v>
      </c>
      <c r="E26" s="178" t="s">
        <v>1</v>
      </c>
      <c r="F26" s="182"/>
      <c r="G26" s="172">
        <f t="shared" si="3"/>
        <v>0</v>
      </c>
    </row>
    <row r="27" spans="1:7" ht="30" x14ac:dyDescent="0.25">
      <c r="A27" s="16"/>
      <c r="B27" s="21">
        <f t="shared" si="2"/>
        <v>14</v>
      </c>
      <c r="C27" s="173" t="s">
        <v>412</v>
      </c>
      <c r="D27" s="27">
        <v>1</v>
      </c>
      <c r="E27" s="178" t="s">
        <v>12</v>
      </c>
      <c r="F27" s="182"/>
      <c r="G27" s="172">
        <f t="shared" si="3"/>
        <v>0</v>
      </c>
    </row>
    <row r="28" spans="1:7" x14ac:dyDescent="0.25">
      <c r="A28" s="16"/>
      <c r="B28" s="21">
        <f t="shared" si="2"/>
        <v>15</v>
      </c>
      <c r="C28" s="7" t="s">
        <v>324</v>
      </c>
      <c r="D28" s="27">
        <v>82</v>
      </c>
      <c r="E28" s="178" t="s">
        <v>2</v>
      </c>
      <c r="F28" s="182"/>
      <c r="G28" s="172">
        <f t="shared" si="3"/>
        <v>0</v>
      </c>
    </row>
    <row r="29" spans="1:7" ht="20.100000000000001" customHeight="1" x14ac:dyDescent="0.25">
      <c r="A29" s="16"/>
      <c r="B29" s="21"/>
      <c r="C29" s="7"/>
      <c r="D29" s="27"/>
      <c r="E29" s="213" t="s">
        <v>427</v>
      </c>
      <c r="F29" s="214"/>
      <c r="G29" s="183"/>
    </row>
    <row r="30" spans="1:7" ht="20.100000000000001" customHeight="1" thickBot="1" x14ac:dyDescent="0.3">
      <c r="A30" s="16"/>
      <c r="B30" s="21"/>
      <c r="C30" s="211" t="s">
        <v>418</v>
      </c>
      <c r="D30" s="211"/>
      <c r="E30" s="211"/>
      <c r="F30" s="212"/>
      <c r="G30" s="184"/>
    </row>
    <row r="31" spans="1:7" ht="20.100000000000001" customHeight="1" thickBot="1" x14ac:dyDescent="0.3">
      <c r="A31" s="16"/>
      <c r="B31" s="7"/>
      <c r="C31" s="7"/>
      <c r="D31" s="179"/>
      <c r="E31" s="215" t="s">
        <v>428</v>
      </c>
      <c r="F31" s="216"/>
      <c r="G31" s="147"/>
    </row>
    <row r="33" spans="1:8" s="2" customFormat="1" x14ac:dyDescent="0.25">
      <c r="A33" s="3"/>
      <c r="B33" s="4"/>
      <c r="C33" s="5"/>
      <c r="E33" s="3"/>
      <c r="F33" s="180"/>
      <c r="G33" s="180"/>
      <c r="H33"/>
    </row>
    <row r="34" spans="1:8" s="2" customFormat="1" x14ac:dyDescent="0.25">
      <c r="A34" s="3"/>
      <c r="B34" s="4"/>
      <c r="C34" s="6"/>
      <c r="E34" s="3"/>
      <c r="F34" s="180"/>
      <c r="G34" s="180"/>
      <c r="H34"/>
    </row>
    <row r="35" spans="1:8" s="2" customFormat="1" x14ac:dyDescent="0.25">
      <c r="A35" s="3"/>
      <c r="B35" s="4"/>
      <c r="C35" s="6"/>
      <c r="E35" s="3"/>
      <c r="F35" s="180"/>
      <c r="G35" s="180"/>
      <c r="H35"/>
    </row>
    <row r="36" spans="1:8" s="2" customFormat="1" x14ac:dyDescent="0.25">
      <c r="A36" s="3"/>
      <c r="B36" s="4"/>
      <c r="C36" s="6"/>
      <c r="E36" s="3"/>
      <c r="F36" s="180"/>
      <c r="G36" s="180"/>
      <c r="H36"/>
    </row>
    <row r="37" spans="1:8" x14ac:dyDescent="0.25">
      <c r="B37" s="4"/>
      <c r="C37" s="6"/>
    </row>
    <row r="38" spans="1:8" x14ac:dyDescent="0.25">
      <c r="B38" s="4"/>
      <c r="C38" s="6"/>
    </row>
  </sheetData>
  <sheetProtection algorithmName="SHA-512" hashValue="jlKrdTy74j4LtPiYN5xFzpazqb3YgOu09i6gwho0bG0/EykVxAihFxp3qWOaWXDTMP5LMzmv9LTogu6gGpsfFg==" saltValue="/2t4teEHRZ4h2J5pEb5kbA==" spinCount="100000" sheet="1" objects="1" scenarios="1" selectLockedCells="1"/>
  <mergeCells count="9">
    <mergeCell ref="E21:F21"/>
    <mergeCell ref="C30:F30"/>
    <mergeCell ref="E29:F29"/>
    <mergeCell ref="E31:F31"/>
    <mergeCell ref="A1:F1"/>
    <mergeCell ref="A2:F2"/>
    <mergeCell ref="A3:F3"/>
    <mergeCell ref="A4:F4"/>
    <mergeCell ref="C20:F20"/>
  </mergeCells>
  <pageMargins left="0.25" right="0.25" top="0.75" bottom="0.75" header="0.3" footer="0.3"/>
  <pageSetup scale="77" fitToHeight="0" orientation="landscape" r:id="rId1"/>
  <headerFooter>
    <oddFooter>&amp;L&amp;D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BF10-AC00-4495-BD72-9ABF4E7C8448}">
  <sheetPr>
    <pageSetUpPr fitToPage="1"/>
  </sheetPr>
  <dimension ref="A1:O141"/>
  <sheetViews>
    <sheetView view="pageBreakPreview" zoomScale="80" zoomScaleNormal="80" zoomScaleSheetLayoutView="80" workbookViewId="0">
      <selection activeCell="M108" sqref="M108"/>
    </sheetView>
  </sheetViews>
  <sheetFormatPr defaultRowHeight="15" x14ac:dyDescent="0.25"/>
  <cols>
    <col min="1" max="1" width="6.28515625" style="3" bestFit="1" customWidth="1"/>
    <col min="2" max="2" width="17.5703125" customWidth="1"/>
    <col min="3" max="3" width="95.85546875" customWidth="1"/>
    <col min="4" max="4" width="9.85546875" style="2" customWidth="1"/>
    <col min="5" max="5" width="6.42578125" style="3" bestFit="1" customWidth="1"/>
    <col min="6" max="6" width="18.42578125" style="1" customWidth="1"/>
    <col min="7" max="7" width="17.7109375" style="1" customWidth="1"/>
    <col min="8" max="8" width="7" customWidth="1"/>
    <col min="9" max="9" width="11.85546875" customWidth="1"/>
    <col min="10" max="10" width="12.5703125" bestFit="1" customWidth="1"/>
    <col min="12" max="12" width="12.5703125" style="97" bestFit="1" customWidth="1"/>
    <col min="13" max="13" width="16.5703125" customWidth="1"/>
    <col min="14" max="14" width="19.140625" customWidth="1"/>
    <col min="15" max="15" width="9.140625" style="108"/>
  </cols>
  <sheetData>
    <row r="1" spans="1:15" ht="18.75" x14ac:dyDescent="0.3">
      <c r="B1" s="219" t="s">
        <v>11</v>
      </c>
      <c r="C1" s="219"/>
      <c r="D1" s="219"/>
      <c r="E1" s="219"/>
      <c r="F1" s="219"/>
      <c r="G1" s="219"/>
    </row>
    <row r="2" spans="1:15" ht="18.75" x14ac:dyDescent="0.3">
      <c r="B2" s="219" t="s">
        <v>13</v>
      </c>
      <c r="C2" s="220"/>
      <c r="D2" s="220"/>
      <c r="E2" s="220"/>
      <c r="F2" s="220"/>
      <c r="G2" s="220"/>
    </row>
    <row r="3" spans="1:15" ht="18.75" x14ac:dyDescent="0.3">
      <c r="B3" s="219" t="s">
        <v>120</v>
      </c>
      <c r="C3" s="219"/>
      <c r="D3" s="219"/>
      <c r="E3" s="219"/>
      <c r="F3" s="219"/>
      <c r="G3" s="219"/>
    </row>
    <row r="4" spans="1:15" ht="18.75" x14ac:dyDescent="0.3">
      <c r="B4" s="219" t="s">
        <v>5</v>
      </c>
      <c r="C4" s="219"/>
      <c r="D4" s="219"/>
      <c r="E4" s="219"/>
      <c r="F4" s="219"/>
      <c r="G4" s="219"/>
    </row>
    <row r="5" spans="1:15" ht="19.5" thickBot="1" x14ac:dyDescent="0.35">
      <c r="B5" s="219" t="s">
        <v>344</v>
      </c>
      <c r="C5" s="219"/>
      <c r="D5" s="219"/>
      <c r="E5" s="219"/>
      <c r="F5" s="219"/>
      <c r="G5" s="219"/>
    </row>
    <row r="6" spans="1:15" x14ac:dyDescent="0.25">
      <c r="A6" s="10" t="s">
        <v>10</v>
      </c>
      <c r="B6" s="24" t="s">
        <v>8</v>
      </c>
      <c r="C6" s="24" t="s">
        <v>9</v>
      </c>
      <c r="D6" s="10" t="s">
        <v>4</v>
      </c>
      <c r="E6" s="10" t="s">
        <v>0</v>
      </c>
      <c r="F6" s="25" t="s">
        <v>6</v>
      </c>
      <c r="G6" s="25" t="s">
        <v>7</v>
      </c>
      <c r="I6" s="30" t="s">
        <v>15</v>
      </c>
      <c r="J6" s="30" t="s">
        <v>16</v>
      </c>
      <c r="O6" s="108" t="s">
        <v>306</v>
      </c>
    </row>
    <row r="7" spans="1:15" x14ac:dyDescent="0.25">
      <c r="A7" s="16"/>
      <c r="B7" s="31" t="s">
        <v>310</v>
      </c>
      <c r="C7" s="21" t="s">
        <v>311</v>
      </c>
      <c r="D7" s="27">
        <v>1</v>
      </c>
      <c r="E7" s="16" t="s">
        <v>66</v>
      </c>
      <c r="F7" s="23"/>
      <c r="G7" s="18">
        <f>F7*D7</f>
        <v>0</v>
      </c>
      <c r="O7" s="110"/>
    </row>
    <row r="8" spans="1:15" x14ac:dyDescent="0.25">
      <c r="A8" s="16"/>
      <c r="B8" s="21" t="s">
        <v>18</v>
      </c>
      <c r="C8" s="21" t="s">
        <v>19</v>
      </c>
      <c r="D8" s="21">
        <v>450</v>
      </c>
      <c r="E8" s="21" t="str">
        <f>Roadway_total!E7</f>
        <v>LS</v>
      </c>
      <c r="F8" s="23" t="e">
        <f>'Manatee Avg'!#REF!</f>
        <v>#REF!</v>
      </c>
      <c r="G8" s="119" t="e">
        <f>F8</f>
        <v>#REF!</v>
      </c>
      <c r="I8" s="29">
        <f>Roadway_total!I7</f>
        <v>0</v>
      </c>
      <c r="J8" s="29">
        <f>Roadway_total!J7</f>
        <v>0</v>
      </c>
      <c r="O8" s="110"/>
    </row>
    <row r="9" spans="1:15" x14ac:dyDescent="0.25">
      <c r="A9" s="16"/>
      <c r="B9" s="21" t="s">
        <v>20</v>
      </c>
      <c r="C9" s="21" t="s">
        <v>21</v>
      </c>
      <c r="D9" s="100">
        <v>12.7</v>
      </c>
      <c r="E9" s="21" t="str">
        <f>Roadway_total!E8</f>
        <v>AC</v>
      </c>
      <c r="F9" s="23" t="e">
        <f>'Manatee Avg'!#REF!</f>
        <v>#REF!</v>
      </c>
      <c r="G9" s="18" t="e">
        <f t="shared" ref="G9:G70" si="0">F9*D9</f>
        <v>#REF!</v>
      </c>
      <c r="I9" s="29">
        <f>Roadway_total!I8</f>
        <v>0</v>
      </c>
      <c r="J9" s="29">
        <f>Roadway_total!J8</f>
        <v>0</v>
      </c>
      <c r="L9" s="97" t="s">
        <v>274</v>
      </c>
      <c r="O9" s="110">
        <f>D9/1</f>
        <v>12.7</v>
      </c>
    </row>
    <row r="10" spans="1:15" x14ac:dyDescent="0.25">
      <c r="A10" s="16"/>
      <c r="B10" s="21" t="s">
        <v>23</v>
      </c>
      <c r="C10" s="21" t="s">
        <v>24</v>
      </c>
      <c r="D10" s="21">
        <v>2806</v>
      </c>
      <c r="E10" s="21" t="str">
        <f>Roadway_total!E9</f>
        <v>SY</v>
      </c>
      <c r="F10" s="23" t="e">
        <f>'Manatee Avg'!#REF!</f>
        <v>#REF!</v>
      </c>
      <c r="G10" s="18" t="e">
        <f t="shared" si="0"/>
        <v>#REF!</v>
      </c>
      <c r="I10" s="29">
        <f>Roadway_total!I9</f>
        <v>0</v>
      </c>
      <c r="J10" s="29">
        <f>Roadway_total!J9</f>
        <v>0</v>
      </c>
      <c r="O10" s="110">
        <f>D10/600</f>
        <v>4.6766666666666667</v>
      </c>
    </row>
    <row r="11" spans="1:15" x14ac:dyDescent="0.25">
      <c r="A11" s="16"/>
      <c r="B11" s="21" t="s">
        <v>313</v>
      </c>
      <c r="C11" s="21" t="s">
        <v>314</v>
      </c>
      <c r="D11" s="21">
        <v>0</v>
      </c>
      <c r="E11" s="21" t="s">
        <v>12</v>
      </c>
      <c r="F11" s="23" t="e">
        <f>'Manatee Avg'!#REF!</f>
        <v>#REF!</v>
      </c>
      <c r="G11" s="18" t="e">
        <f t="shared" si="0"/>
        <v>#REF!</v>
      </c>
      <c r="I11" s="29"/>
      <c r="J11" s="29"/>
      <c r="O11" s="110"/>
    </row>
    <row r="12" spans="1:15" x14ac:dyDescent="0.25">
      <c r="A12" s="16"/>
      <c r="B12" s="21" t="s">
        <v>25</v>
      </c>
      <c r="C12" s="21" t="s">
        <v>26</v>
      </c>
      <c r="D12" s="101">
        <v>3235.9</v>
      </c>
      <c r="E12" s="21" t="str">
        <f>Roadway_total!E11</f>
        <v>CY</v>
      </c>
      <c r="F12" s="23" t="e">
        <f>'Manatee Avg'!#REF!</f>
        <v>#REF!</v>
      </c>
      <c r="G12" s="18" t="e">
        <f t="shared" si="0"/>
        <v>#REF!</v>
      </c>
      <c r="I12" s="29">
        <f>Roadway_total!I11</f>
        <v>0</v>
      </c>
      <c r="J12" s="29">
        <f>Roadway_total!J11</f>
        <v>0</v>
      </c>
      <c r="L12" s="98" t="s">
        <v>275</v>
      </c>
      <c r="O12" s="110">
        <v>15</v>
      </c>
    </row>
    <row r="13" spans="1:15" x14ac:dyDescent="0.25">
      <c r="A13" s="16"/>
      <c r="B13" s="21" t="s">
        <v>27</v>
      </c>
      <c r="C13" s="21" t="s">
        <v>28</v>
      </c>
      <c r="D13" s="21">
        <v>8840</v>
      </c>
      <c r="E13" s="21" t="str">
        <f>Roadway_total!E12</f>
        <v>CY</v>
      </c>
      <c r="F13" s="23" t="e">
        <f>'Manatee Avg'!#REF!</f>
        <v>#REF!</v>
      </c>
      <c r="G13" s="18" t="e">
        <f t="shared" si="0"/>
        <v>#REF!</v>
      </c>
      <c r="I13" s="29">
        <f>Roadway_total!I12</f>
        <v>0</v>
      </c>
      <c r="J13" s="29">
        <f>Roadway_total!J12</f>
        <v>0</v>
      </c>
      <c r="L13" s="98"/>
      <c r="O13" s="110">
        <v>10</v>
      </c>
    </row>
    <row r="14" spans="1:15" x14ac:dyDescent="0.25">
      <c r="A14" s="16"/>
      <c r="B14" s="21" t="s">
        <v>29</v>
      </c>
      <c r="C14" s="21" t="s">
        <v>30</v>
      </c>
      <c r="D14" s="101">
        <v>1923.3</v>
      </c>
      <c r="E14" s="21" t="str">
        <f>Roadway_total!E13</f>
        <v>CY</v>
      </c>
      <c r="F14" s="23" t="e">
        <f>'Manatee Avg'!#REF!</f>
        <v>#REF!</v>
      </c>
      <c r="G14" s="18" t="e">
        <f t="shared" si="0"/>
        <v>#REF!</v>
      </c>
      <c r="I14" s="29">
        <f>Roadway_total!I13</f>
        <v>0</v>
      </c>
      <c r="J14" s="29">
        <f>Roadway_total!J13</f>
        <v>0</v>
      </c>
      <c r="L14" s="98"/>
      <c r="O14" s="110">
        <v>15</v>
      </c>
    </row>
    <row r="15" spans="1:15" x14ac:dyDescent="0.25">
      <c r="A15" s="16"/>
      <c r="B15" s="21" t="s">
        <v>31</v>
      </c>
      <c r="C15" s="21" t="s">
        <v>32</v>
      </c>
      <c r="D15" s="21">
        <v>7116.4</v>
      </c>
      <c r="E15" s="21" t="str">
        <f>Roadway_total!E14</f>
        <v>SY</v>
      </c>
      <c r="F15" s="23" t="e">
        <f>'Manatee Avg'!#REF!</f>
        <v>#REF!</v>
      </c>
      <c r="G15" s="18" t="e">
        <f t="shared" si="0"/>
        <v>#REF!</v>
      </c>
      <c r="I15" s="29">
        <f>Roadway_total!I14</f>
        <v>0</v>
      </c>
      <c r="J15" s="29">
        <f>Roadway_total!J14</f>
        <v>0</v>
      </c>
      <c r="O15" s="110">
        <f>D15/1600</f>
        <v>4.4477500000000001</v>
      </c>
    </row>
    <row r="16" spans="1:15" x14ac:dyDescent="0.25">
      <c r="A16" s="16"/>
      <c r="B16" s="21">
        <v>285709</v>
      </c>
      <c r="C16" s="21" t="s">
        <v>33</v>
      </c>
      <c r="D16" s="21">
        <v>6465</v>
      </c>
      <c r="E16" s="21" t="str">
        <f>Roadway_total!E15</f>
        <v>SY</v>
      </c>
      <c r="F16" s="23" t="e">
        <f>'Manatee Avg'!#REF!</f>
        <v>#REF!</v>
      </c>
      <c r="G16" s="18" t="e">
        <f t="shared" si="0"/>
        <v>#REF!</v>
      </c>
      <c r="I16" s="29">
        <f>Roadway_total!I15</f>
        <v>0</v>
      </c>
      <c r="J16" s="29">
        <f>Roadway_total!J15</f>
        <v>0</v>
      </c>
      <c r="O16" s="217">
        <v>13</v>
      </c>
    </row>
    <row r="17" spans="1:15" x14ac:dyDescent="0.25">
      <c r="A17" s="16"/>
      <c r="B17" s="21">
        <v>285701</v>
      </c>
      <c r="C17" s="21" t="s">
        <v>34</v>
      </c>
      <c r="D17" s="21">
        <v>574</v>
      </c>
      <c r="E17" s="21" t="str">
        <f>Roadway_total!E16</f>
        <v>SY</v>
      </c>
      <c r="F17" s="23" t="e">
        <f>'Manatee Avg'!#REF!</f>
        <v>#REF!</v>
      </c>
      <c r="G17" s="18" t="e">
        <f t="shared" si="0"/>
        <v>#REF!</v>
      </c>
      <c r="I17" s="29">
        <f>Roadway_total!I16</f>
        <v>0</v>
      </c>
      <c r="J17" s="29">
        <f>Roadway_total!J16</f>
        <v>0</v>
      </c>
      <c r="O17" s="218"/>
    </row>
    <row r="18" spans="1:15" x14ac:dyDescent="0.25">
      <c r="A18" s="16"/>
      <c r="B18" s="21" t="s">
        <v>110</v>
      </c>
      <c r="C18" s="21" t="s">
        <v>111</v>
      </c>
      <c r="D18" s="21">
        <v>10009.66</v>
      </c>
      <c r="E18" s="21" t="str">
        <f>Roadway_total!E17</f>
        <v>SY</v>
      </c>
      <c r="F18" s="23" t="e">
        <f>'Manatee Avg'!#REF!</f>
        <v>#REF!</v>
      </c>
      <c r="G18" s="18" t="e">
        <f t="shared" si="0"/>
        <v>#REF!</v>
      </c>
      <c r="I18" s="29">
        <f>Roadway_total!I17</f>
        <v>0</v>
      </c>
      <c r="J18" s="29">
        <f>Roadway_total!J17</f>
        <v>0</v>
      </c>
      <c r="O18" s="222">
        <f>SUM(D18:D19)/8000</f>
        <v>1.2512075</v>
      </c>
    </row>
    <row r="19" spans="1:15" x14ac:dyDescent="0.25">
      <c r="A19" s="16"/>
      <c r="B19" s="22" t="s">
        <v>302</v>
      </c>
      <c r="C19" s="22" t="s">
        <v>303</v>
      </c>
      <c r="D19" s="107">
        <v>0</v>
      </c>
      <c r="E19" s="19" t="s">
        <v>2</v>
      </c>
      <c r="F19" s="23" t="e">
        <f>'Manatee Avg'!#REF!</f>
        <v>#REF!</v>
      </c>
      <c r="G19" s="18" t="e">
        <f t="shared" si="0"/>
        <v>#REF!</v>
      </c>
      <c r="I19" s="29"/>
      <c r="J19" s="29"/>
      <c r="O19" s="222"/>
    </row>
    <row r="20" spans="1:15" x14ac:dyDescent="0.25">
      <c r="A20" s="16"/>
      <c r="B20" s="21" t="s">
        <v>35</v>
      </c>
      <c r="C20" s="21" t="s">
        <v>106</v>
      </c>
      <c r="D20" s="21">
        <v>819.03</v>
      </c>
      <c r="E20" s="21" t="str">
        <f>Roadway_total!E19</f>
        <v>TN</v>
      </c>
      <c r="F20" s="23" t="e">
        <f>'Manatee Avg'!#REF!</f>
        <v>#REF!</v>
      </c>
      <c r="G20" s="18" t="e">
        <f t="shared" si="0"/>
        <v>#REF!</v>
      </c>
      <c r="I20" s="29">
        <f>Roadway_total!I19</f>
        <v>0</v>
      </c>
      <c r="J20" s="29">
        <f>Roadway_total!J20</f>
        <v>0</v>
      </c>
      <c r="O20" s="217">
        <v>14</v>
      </c>
    </row>
    <row r="21" spans="1:15" x14ac:dyDescent="0.25">
      <c r="A21" s="16"/>
      <c r="B21" s="21" t="s">
        <v>35</v>
      </c>
      <c r="C21" s="21" t="s">
        <v>107</v>
      </c>
      <c r="D21" s="21">
        <v>1417.43</v>
      </c>
      <c r="E21" s="21" t="str">
        <f>Roadway_total!E20</f>
        <v>TN</v>
      </c>
      <c r="F21" s="23" t="e">
        <f>'Manatee Avg'!#REF!</f>
        <v>#REF!</v>
      </c>
      <c r="G21" s="18" t="e">
        <f t="shared" si="0"/>
        <v>#REF!</v>
      </c>
      <c r="I21" s="29">
        <f>Roadway_total!I20</f>
        <v>0</v>
      </c>
      <c r="J21" s="29">
        <f>Roadway_total!J21</f>
        <v>0</v>
      </c>
      <c r="O21" s="221"/>
    </row>
    <row r="22" spans="1:15" x14ac:dyDescent="0.25">
      <c r="A22" s="16"/>
      <c r="B22" s="21" t="s">
        <v>35</v>
      </c>
      <c r="C22" s="21" t="s">
        <v>108</v>
      </c>
      <c r="D22" s="21">
        <v>900.21</v>
      </c>
      <c r="E22" s="21" t="str">
        <f>Roadway_total!E21</f>
        <v>TN</v>
      </c>
      <c r="F22" s="23" t="e">
        <f>'Manatee Avg'!#REF!</f>
        <v>#REF!</v>
      </c>
      <c r="G22" s="18" t="e">
        <f t="shared" si="0"/>
        <v>#REF!</v>
      </c>
      <c r="I22" s="29">
        <f>Roadway_total!I21</f>
        <v>0</v>
      </c>
      <c r="J22" s="29">
        <f>Roadway_total!J22</f>
        <v>0</v>
      </c>
      <c r="O22" s="221"/>
    </row>
    <row r="23" spans="1:15" x14ac:dyDescent="0.25">
      <c r="A23" s="16"/>
      <c r="B23" s="21" t="s">
        <v>35</v>
      </c>
      <c r="C23" s="21" t="s">
        <v>109</v>
      </c>
      <c r="D23" s="47">
        <v>450</v>
      </c>
      <c r="E23" s="21" t="str">
        <f>Roadway_total!E22</f>
        <v>TN</v>
      </c>
      <c r="F23" s="23" t="e">
        <f>'Manatee Avg'!#REF!</f>
        <v>#REF!</v>
      </c>
      <c r="G23" s="18" t="e">
        <f t="shared" si="0"/>
        <v>#REF!</v>
      </c>
      <c r="I23" s="29">
        <f>Roadway_total!I22</f>
        <v>0</v>
      </c>
      <c r="J23" s="29">
        <f>Roadway_total!J23</f>
        <v>0</v>
      </c>
      <c r="L23" s="98"/>
      <c r="O23" s="218"/>
    </row>
    <row r="24" spans="1:15" x14ac:dyDescent="0.25">
      <c r="A24" s="16"/>
      <c r="B24" s="21" t="s">
        <v>36</v>
      </c>
      <c r="C24" s="21" t="s">
        <v>37</v>
      </c>
      <c r="D24" s="44">
        <v>0</v>
      </c>
      <c r="E24" s="21" t="str">
        <f>Roadway_total!E23</f>
        <v>CY</v>
      </c>
      <c r="F24" s="23" t="e">
        <f>'Manatee Avg'!#REF!</f>
        <v>#REF!</v>
      </c>
      <c r="G24" s="18" t="e">
        <f t="shared" si="0"/>
        <v>#REF!</v>
      </c>
      <c r="I24" s="29">
        <f>Roadway_total!I23</f>
        <v>0</v>
      </c>
      <c r="J24" s="29">
        <f>Roadway_total!J24</f>
        <v>0</v>
      </c>
      <c r="O24" s="110"/>
    </row>
    <row r="25" spans="1:15" x14ac:dyDescent="0.25">
      <c r="A25" s="16"/>
      <c r="B25" s="21" t="s">
        <v>38</v>
      </c>
      <c r="C25" s="21" t="s">
        <v>39</v>
      </c>
      <c r="D25" s="44">
        <v>0</v>
      </c>
      <c r="E25" s="21" t="str">
        <f>Roadway_total!E24</f>
        <v>CY</v>
      </c>
      <c r="F25" s="23" t="e">
        <f>'Manatee Avg'!#REF!</f>
        <v>#REF!</v>
      </c>
      <c r="G25" s="18" t="e">
        <f t="shared" si="0"/>
        <v>#REF!</v>
      </c>
      <c r="I25" s="29">
        <f>Roadway_total!I24</f>
        <v>0</v>
      </c>
      <c r="J25" s="29">
        <f>Roadway_total!J25</f>
        <v>0</v>
      </c>
      <c r="O25" s="110">
        <f>D25/15</f>
        <v>0</v>
      </c>
    </row>
    <row r="26" spans="1:15" x14ac:dyDescent="0.25">
      <c r="A26" s="16"/>
      <c r="B26" s="21" t="s">
        <v>40</v>
      </c>
      <c r="C26" s="21" t="s">
        <v>41</v>
      </c>
      <c r="D26" s="46">
        <v>0</v>
      </c>
      <c r="E26" s="21" t="str">
        <f>Roadway_total!E25</f>
        <v>LB</v>
      </c>
      <c r="F26" s="23" t="e">
        <f>'Manatee Avg'!#REF!</f>
        <v>#REF!</v>
      </c>
      <c r="G26" s="18" t="e">
        <f t="shared" si="0"/>
        <v>#REF!</v>
      </c>
      <c r="I26" s="29">
        <f>Roadway_total!I25</f>
        <v>0</v>
      </c>
      <c r="J26" s="29">
        <f>Roadway_total!J26</f>
        <v>0</v>
      </c>
      <c r="O26" s="110"/>
    </row>
    <row r="27" spans="1:15" x14ac:dyDescent="0.25">
      <c r="A27" s="16"/>
      <c r="B27" s="21" t="s">
        <v>43</v>
      </c>
      <c r="C27" s="7" t="s">
        <v>44</v>
      </c>
      <c r="D27" s="46"/>
      <c r="E27" s="21"/>
      <c r="F27" s="23" t="e">
        <f>'Manatee Avg'!#REF!</f>
        <v>#REF!</v>
      </c>
      <c r="G27" s="18"/>
      <c r="I27" s="29"/>
      <c r="J27" s="29"/>
      <c r="O27" s="110"/>
    </row>
    <row r="28" spans="1:15" x14ac:dyDescent="0.25">
      <c r="A28" s="16"/>
      <c r="B28" s="21" t="s">
        <v>46</v>
      </c>
      <c r="C28" s="21" t="s">
        <v>47</v>
      </c>
      <c r="D28" s="21">
        <v>0</v>
      </c>
      <c r="E28" s="21" t="str">
        <f>Roadway_total!E27</f>
        <v>LF</v>
      </c>
      <c r="F28" s="23" t="e">
        <f>'Manatee Avg'!#REF!</f>
        <v>#REF!</v>
      </c>
      <c r="G28" s="18" t="e">
        <f t="shared" si="0"/>
        <v>#REF!</v>
      </c>
      <c r="I28" s="29">
        <f>Roadway_total!I27</f>
        <v>0</v>
      </c>
      <c r="J28" s="29">
        <f>Roadway_total!J28</f>
        <v>0</v>
      </c>
      <c r="O28" s="110"/>
    </row>
    <row r="29" spans="1:15" x14ac:dyDescent="0.25">
      <c r="A29" s="16"/>
      <c r="B29" s="21" t="s">
        <v>48</v>
      </c>
      <c r="C29" s="21" t="s">
        <v>49</v>
      </c>
      <c r="D29" s="21">
        <v>3913</v>
      </c>
      <c r="E29" s="21" t="str">
        <f>Roadway_total!E28</f>
        <v>LF</v>
      </c>
      <c r="F29" s="23" t="e">
        <f>'Manatee Avg'!#REF!</f>
        <v>#REF!</v>
      </c>
      <c r="G29" s="18" t="e">
        <f t="shared" si="0"/>
        <v>#REF!</v>
      </c>
      <c r="I29" s="29">
        <f>Roadway_total!I28</f>
        <v>0</v>
      </c>
      <c r="J29" s="29">
        <f>Roadway_total!J29</f>
        <v>0</v>
      </c>
      <c r="O29" s="217">
        <f>SUM(D29:D31)/600</f>
        <v>10.351666666666667</v>
      </c>
    </row>
    <row r="30" spans="1:15" x14ac:dyDescent="0.25">
      <c r="A30" s="16"/>
      <c r="B30" s="21" t="s">
        <v>50</v>
      </c>
      <c r="C30" s="21" t="s">
        <v>51</v>
      </c>
      <c r="D30" s="21">
        <v>2298</v>
      </c>
      <c r="E30" s="21" t="str">
        <f>Roadway_total!E29</f>
        <v>LF</v>
      </c>
      <c r="F30" s="23" t="e">
        <f>'Manatee Avg'!#REF!</f>
        <v>#REF!</v>
      </c>
      <c r="G30" s="18" t="e">
        <f t="shared" si="0"/>
        <v>#REF!</v>
      </c>
      <c r="I30" s="29">
        <f>Roadway_total!I29</f>
        <v>0</v>
      </c>
      <c r="J30" s="29">
        <f>Roadway_total!J30</f>
        <v>0</v>
      </c>
      <c r="O30" s="221"/>
    </row>
    <row r="31" spans="1:15" x14ac:dyDescent="0.25">
      <c r="A31" s="16"/>
      <c r="B31" s="21" t="s">
        <v>52</v>
      </c>
      <c r="C31" s="21" t="s">
        <v>53</v>
      </c>
      <c r="D31" s="21">
        <v>0</v>
      </c>
      <c r="E31" s="21" t="str">
        <f>Roadway_total!E30</f>
        <v>LF</v>
      </c>
      <c r="F31" s="23" t="e">
        <f>'Manatee Avg'!#REF!</f>
        <v>#REF!</v>
      </c>
      <c r="G31" s="18" t="e">
        <f t="shared" si="0"/>
        <v>#REF!</v>
      </c>
      <c r="I31" s="29">
        <f>Roadway_total!I30</f>
        <v>0</v>
      </c>
      <c r="J31" s="29">
        <f>Roadway_total!J31</f>
        <v>0</v>
      </c>
      <c r="O31" s="218"/>
    </row>
    <row r="32" spans="1:15" x14ac:dyDescent="0.25">
      <c r="A32" s="16"/>
      <c r="B32" s="21" t="s">
        <v>54</v>
      </c>
      <c r="C32" s="21" t="s">
        <v>55</v>
      </c>
      <c r="D32" s="21">
        <f>125+174+221</f>
        <v>520</v>
      </c>
      <c r="E32" s="21" t="str">
        <f>Roadway_total!E31</f>
        <v>LF</v>
      </c>
      <c r="F32" s="23" t="e">
        <f>'Manatee Avg'!#REF!</f>
        <v>#REF!</v>
      </c>
      <c r="G32" s="18" t="e">
        <f t="shared" si="0"/>
        <v>#REF!</v>
      </c>
      <c r="I32" s="29">
        <f>Roadway_total!I31</f>
        <v>0</v>
      </c>
      <c r="J32" s="29">
        <f>Roadway_total!J32</f>
        <v>0</v>
      </c>
      <c r="O32" s="110">
        <f>D32/800</f>
        <v>0.65</v>
      </c>
    </row>
    <row r="33" spans="1:15" x14ac:dyDescent="0.25">
      <c r="A33" s="16"/>
      <c r="B33" s="21" t="s">
        <v>56</v>
      </c>
      <c r="C33" s="21" t="s">
        <v>57</v>
      </c>
      <c r="D33" s="21">
        <v>2232</v>
      </c>
      <c r="E33" s="21" t="str">
        <f>Roadway_total!E32</f>
        <v>SY</v>
      </c>
      <c r="F33" s="23" t="e">
        <f>'Manatee Avg'!#REF!</f>
        <v>#REF!</v>
      </c>
      <c r="G33" s="18" t="e">
        <f t="shared" si="0"/>
        <v>#REF!</v>
      </c>
      <c r="I33" s="29">
        <f>Roadway_total!I32</f>
        <v>0</v>
      </c>
      <c r="J33" s="29">
        <f>Roadway_total!J33</f>
        <v>0</v>
      </c>
      <c r="O33" s="110">
        <f>D33/300</f>
        <v>7.44</v>
      </c>
    </row>
    <row r="34" spans="1:15" x14ac:dyDescent="0.25">
      <c r="A34" s="16"/>
      <c r="B34" s="21" t="s">
        <v>58</v>
      </c>
      <c r="C34" s="21" t="s">
        <v>59</v>
      </c>
      <c r="D34" s="21">
        <v>85</v>
      </c>
      <c r="E34" s="21" t="str">
        <f>Roadway_total!E33</f>
        <v>SY</v>
      </c>
      <c r="F34" s="23" t="e">
        <f>'Manatee Avg'!#REF!</f>
        <v>#REF!</v>
      </c>
      <c r="G34" s="18" t="e">
        <f t="shared" si="0"/>
        <v>#REF!</v>
      </c>
      <c r="I34" s="29">
        <f>Roadway_total!I33</f>
        <v>0</v>
      </c>
      <c r="J34" s="29">
        <f>Roadway_total!J34</f>
        <v>0</v>
      </c>
      <c r="O34" s="110">
        <v>6</v>
      </c>
    </row>
    <row r="35" spans="1:15" x14ac:dyDescent="0.25">
      <c r="A35" s="16"/>
      <c r="B35" s="21" t="s">
        <v>60</v>
      </c>
      <c r="C35" s="21" t="s">
        <v>61</v>
      </c>
      <c r="D35" s="21">
        <v>55</v>
      </c>
      <c r="E35" s="21" t="str">
        <f>Roadway_total!E34</f>
        <v>SF</v>
      </c>
      <c r="F35" s="23" t="e">
        <f>'Manatee Avg'!#REF!</f>
        <v>#REF!</v>
      </c>
      <c r="G35" s="18" t="e">
        <f t="shared" si="0"/>
        <v>#REF!</v>
      </c>
      <c r="I35" s="29">
        <f>Roadway_total!I34</f>
        <v>0</v>
      </c>
      <c r="J35" s="29">
        <f>Roadway_total!J34</f>
        <v>0</v>
      </c>
      <c r="O35" s="110">
        <f>20</f>
        <v>20</v>
      </c>
    </row>
    <row r="36" spans="1:15" x14ac:dyDescent="0.25">
      <c r="A36" s="16"/>
      <c r="B36" s="21" t="str">
        <f>Roadway_total!B35</f>
        <v>536 1 0</v>
      </c>
      <c r="C36" s="21" t="str">
        <f>Roadway_total!C35</f>
        <v>Guardrail - Roadway General/Low Speed TL-2</v>
      </c>
      <c r="D36" s="21">
        <v>0</v>
      </c>
      <c r="E36" s="21" t="str">
        <f>Roadway_total!E35</f>
        <v>LF</v>
      </c>
      <c r="F36" s="23" t="e">
        <f>'Manatee Avg'!#REF!</f>
        <v>#REF!</v>
      </c>
      <c r="G36" s="18" t="e">
        <f t="shared" si="0"/>
        <v>#REF!</v>
      </c>
      <c r="I36" s="29">
        <f>Roadway_total!I35</f>
        <v>0</v>
      </c>
      <c r="J36" s="29">
        <f>Roadway_total!J35</f>
        <v>0</v>
      </c>
      <c r="O36" s="110"/>
    </row>
    <row r="37" spans="1:15" x14ac:dyDescent="0.25">
      <c r="A37" s="16"/>
      <c r="B37" s="21" t="str">
        <f>Roadway_total!B36</f>
        <v>536 85 20</v>
      </c>
      <c r="C37" s="21" t="str">
        <f>Roadway_total!C36</f>
        <v>Guardrail End Treatment - Trailing Anchorage</v>
      </c>
      <c r="D37" s="21">
        <v>0</v>
      </c>
      <c r="E37" s="21" t="str">
        <f>Roadway_total!E36</f>
        <v>EA</v>
      </c>
      <c r="F37" s="23" t="e">
        <f>'Manatee Avg'!#REF!</f>
        <v>#REF!</v>
      </c>
      <c r="G37" s="18" t="e">
        <f t="shared" si="0"/>
        <v>#REF!</v>
      </c>
      <c r="I37" s="29">
        <f>Roadway_total!I36</f>
        <v>0</v>
      </c>
      <c r="J37" s="29">
        <f>Roadway_total!J36</f>
        <v>0</v>
      </c>
      <c r="O37" s="110"/>
    </row>
    <row r="38" spans="1:15" x14ac:dyDescent="0.25">
      <c r="A38" s="16"/>
      <c r="B38" s="21" t="str">
        <f>Roadway_total!B37</f>
        <v>536 85 24</v>
      </c>
      <c r="C38" s="21" t="str">
        <f>Roadway_total!C37</f>
        <v>Guardrail End Treatment - Parallel Approach Terminal</v>
      </c>
      <c r="D38" s="21">
        <v>0</v>
      </c>
      <c r="E38" s="21" t="str">
        <f>Roadway_total!E37</f>
        <v>EA</v>
      </c>
      <c r="F38" s="23" t="e">
        <f>'Manatee Avg'!#REF!</f>
        <v>#REF!</v>
      </c>
      <c r="G38" s="18" t="e">
        <f t="shared" si="0"/>
        <v>#REF!</v>
      </c>
      <c r="I38" s="29">
        <f>Roadway_total!I37</f>
        <v>0</v>
      </c>
      <c r="J38" s="29">
        <f>Roadway_total!J37</f>
        <v>0</v>
      </c>
      <c r="O38" s="110"/>
    </row>
    <row r="39" spans="1:15" x14ac:dyDescent="0.25">
      <c r="A39" s="16"/>
      <c r="B39" s="21" t="s">
        <v>298</v>
      </c>
      <c r="C39" s="21" t="s">
        <v>301</v>
      </c>
      <c r="D39" s="21">
        <v>240</v>
      </c>
      <c r="E39" s="21" t="s">
        <v>1</v>
      </c>
      <c r="F39" s="23" t="e">
        <f>'Manatee Avg'!#REF!</f>
        <v>#REF!</v>
      </c>
      <c r="G39" s="18" t="e">
        <f t="shared" si="0"/>
        <v>#REF!</v>
      </c>
      <c r="I39" s="29"/>
      <c r="J39" s="29"/>
      <c r="O39" s="110">
        <f>D39/500</f>
        <v>0.48</v>
      </c>
    </row>
    <row r="40" spans="1:15" x14ac:dyDescent="0.25">
      <c r="A40" s="16"/>
      <c r="B40" s="21" t="s">
        <v>299</v>
      </c>
      <c r="C40" s="21" t="s">
        <v>300</v>
      </c>
      <c r="D40" s="21">
        <v>3</v>
      </c>
      <c r="E40" s="21" t="s">
        <v>12</v>
      </c>
      <c r="F40" s="23" t="e">
        <f>'Manatee Avg'!#REF!</f>
        <v>#REF!</v>
      </c>
      <c r="G40" s="18" t="e">
        <f t="shared" si="0"/>
        <v>#REF!</v>
      </c>
      <c r="I40" s="29"/>
      <c r="J40" s="29"/>
      <c r="O40" s="110">
        <f>D40/10</f>
        <v>0.3</v>
      </c>
    </row>
    <row r="41" spans="1:15" x14ac:dyDescent="0.25">
      <c r="A41" s="16"/>
      <c r="B41" s="21" t="s">
        <v>62</v>
      </c>
      <c r="C41" s="21" t="s">
        <v>63</v>
      </c>
      <c r="D41" s="96">
        <f>(376+9582+578+745+643)/4</f>
        <v>2981</v>
      </c>
      <c r="E41" s="21" t="str">
        <f>Roadway_total!E40</f>
        <v>SY</v>
      </c>
      <c r="F41" s="23" t="e">
        <f>'Manatee Avg'!#REF!</f>
        <v>#REF!</v>
      </c>
      <c r="G41" s="18" t="e">
        <f t="shared" si="0"/>
        <v>#REF!</v>
      </c>
      <c r="I41" s="29">
        <f>Roadway_total!I40</f>
        <v>0</v>
      </c>
      <c r="J41" s="29">
        <f>Roadway_total!J40</f>
        <v>0</v>
      </c>
      <c r="O41" s="110">
        <f>D41/1500</f>
        <v>1.9873333333333334</v>
      </c>
    </row>
    <row r="42" spans="1:15" x14ac:dyDescent="0.25">
      <c r="A42" s="16"/>
      <c r="B42" s="21" t="s">
        <v>64</v>
      </c>
      <c r="C42" s="21" t="s">
        <v>65</v>
      </c>
      <c r="D42" s="21">
        <v>1</v>
      </c>
      <c r="E42" s="21" t="str">
        <f>Roadway_total!E41</f>
        <v>LS</v>
      </c>
      <c r="F42" s="23" t="e">
        <f>'Manatee Avg'!#REF!</f>
        <v>#REF!</v>
      </c>
      <c r="G42" s="18" t="e">
        <f t="shared" si="0"/>
        <v>#REF!</v>
      </c>
      <c r="I42" s="29">
        <f>Roadway_total!I41</f>
        <v>0</v>
      </c>
      <c r="J42" s="29">
        <f>Roadway_total!J41</f>
        <v>0</v>
      </c>
      <c r="O42" s="110"/>
    </row>
    <row r="43" spans="1:15" x14ac:dyDescent="0.25">
      <c r="A43" s="89"/>
      <c r="B43" s="90" t="s">
        <v>312</v>
      </c>
      <c r="C43" s="91"/>
      <c r="D43" s="92"/>
      <c r="E43" s="89"/>
      <c r="F43" s="93"/>
      <c r="G43" s="94" t="e">
        <f>0.1*SUM(G8:G41)</f>
        <v>#REF!</v>
      </c>
      <c r="I43" s="29"/>
      <c r="J43" s="29"/>
      <c r="O43" s="110"/>
    </row>
    <row r="44" spans="1:15" x14ac:dyDescent="0.25">
      <c r="A44" s="35"/>
      <c r="B44" s="32"/>
      <c r="C44" s="32"/>
      <c r="D44" s="32"/>
      <c r="E44" s="32"/>
      <c r="F44" s="36"/>
      <c r="G44" s="37"/>
      <c r="I44" s="29"/>
      <c r="J44" s="29"/>
      <c r="L44" s="99"/>
      <c r="O44" s="110"/>
    </row>
    <row r="45" spans="1:15" x14ac:dyDescent="0.25">
      <c r="A45" s="16"/>
      <c r="B45" s="21" t="s">
        <v>67</v>
      </c>
      <c r="C45" s="21" t="s">
        <v>68</v>
      </c>
      <c r="D45" s="21">
        <v>1.53</v>
      </c>
      <c r="E45" s="21" t="str">
        <f>Roadway_total!E43</f>
        <v>GM</v>
      </c>
      <c r="F45" s="26" t="e">
        <f>'Manatee Avg'!#REF!</f>
        <v>#REF!</v>
      </c>
      <c r="G45" s="18" t="e">
        <f t="shared" si="0"/>
        <v>#REF!</v>
      </c>
      <c r="I45" s="29">
        <f>Roadway_total!I43</f>
        <v>0</v>
      </c>
      <c r="J45" s="29">
        <f>Roadway_total!J43</f>
        <v>0</v>
      </c>
      <c r="O45" s="110">
        <f>D45/7</f>
        <v>0.21857142857142858</v>
      </c>
    </row>
    <row r="46" spans="1:15" x14ac:dyDescent="0.25">
      <c r="A46" s="16"/>
      <c r="B46" s="21" t="s">
        <v>70</v>
      </c>
      <c r="C46" s="21" t="s">
        <v>71</v>
      </c>
      <c r="D46" s="21">
        <v>675</v>
      </c>
      <c r="E46" s="21" t="str">
        <f>Roadway_total!E44</f>
        <v>LF</v>
      </c>
      <c r="F46" s="26" t="e">
        <f>'Manatee Avg'!#REF!</f>
        <v>#REF!</v>
      </c>
      <c r="G46" s="18" t="e">
        <f t="shared" si="0"/>
        <v>#REF!</v>
      </c>
      <c r="I46" s="29">
        <f>Roadway_total!I44</f>
        <v>0</v>
      </c>
      <c r="J46" s="29">
        <f>Roadway_total!J44</f>
        <v>0</v>
      </c>
      <c r="O46" s="110">
        <f>D46/2000</f>
        <v>0.33750000000000002</v>
      </c>
    </row>
    <row r="47" spans="1:15" x14ac:dyDescent="0.25">
      <c r="A47" s="16"/>
      <c r="B47" s="21" t="s">
        <v>72</v>
      </c>
      <c r="C47" s="21" t="s">
        <v>73</v>
      </c>
      <c r="D47" s="21">
        <v>252</v>
      </c>
      <c r="E47" s="21" t="str">
        <f>Roadway_total!E45</f>
        <v>LF</v>
      </c>
      <c r="F47" s="26" t="e">
        <f>'Manatee Avg'!#REF!</f>
        <v>#REF!</v>
      </c>
      <c r="G47" s="18" t="e">
        <f t="shared" si="0"/>
        <v>#REF!</v>
      </c>
      <c r="I47" s="29">
        <f>Roadway_total!I45</f>
        <v>0</v>
      </c>
      <c r="J47" s="29">
        <f>Roadway_total!J45</f>
        <v>0</v>
      </c>
      <c r="O47" s="110">
        <f t="shared" ref="O47:O49" si="1">D47/2000</f>
        <v>0.126</v>
      </c>
    </row>
    <row r="48" spans="1:15" x14ac:dyDescent="0.25">
      <c r="A48" s="16"/>
      <c r="B48" s="21" t="s">
        <v>74</v>
      </c>
      <c r="C48" s="21" t="s">
        <v>75</v>
      </c>
      <c r="D48" s="21">
        <v>412</v>
      </c>
      <c r="E48" s="21" t="str">
        <f>Roadway_total!E46</f>
        <v>LF</v>
      </c>
      <c r="F48" s="26" t="e">
        <f>'Manatee Avg'!#REF!</f>
        <v>#REF!</v>
      </c>
      <c r="G48" s="18" t="e">
        <f t="shared" si="0"/>
        <v>#REF!</v>
      </c>
      <c r="I48" s="29">
        <f>Roadway_total!I46</f>
        <v>0</v>
      </c>
      <c r="J48" s="29">
        <f>Roadway_total!J46</f>
        <v>0</v>
      </c>
      <c r="O48" s="110">
        <f t="shared" si="1"/>
        <v>0.20599999999999999</v>
      </c>
    </row>
    <row r="49" spans="1:15" x14ac:dyDescent="0.25">
      <c r="A49" s="16"/>
      <c r="B49" s="21" t="s">
        <v>76</v>
      </c>
      <c r="C49" s="21" t="s">
        <v>77</v>
      </c>
      <c r="D49" s="21">
        <v>0.15</v>
      </c>
      <c r="E49" s="21" t="str">
        <f>Roadway_total!E47</f>
        <v>GM</v>
      </c>
      <c r="F49" s="26" t="e">
        <f>'Manatee Avg'!#REF!</f>
        <v>#REF!</v>
      </c>
      <c r="G49" s="18" t="e">
        <f t="shared" si="0"/>
        <v>#REF!</v>
      </c>
      <c r="I49" s="29">
        <f>Roadway_total!I47</f>
        <v>0</v>
      </c>
      <c r="J49" s="29">
        <f>Roadway_total!J47</f>
        <v>0</v>
      </c>
      <c r="O49" s="110">
        <f t="shared" si="1"/>
        <v>7.4999999999999993E-5</v>
      </c>
    </row>
    <row r="50" spans="1:15" x14ac:dyDescent="0.25">
      <c r="A50" s="16"/>
      <c r="B50" s="21" t="s">
        <v>78</v>
      </c>
      <c r="C50" s="21" t="s">
        <v>79</v>
      </c>
      <c r="D50" s="21">
        <v>8</v>
      </c>
      <c r="E50" s="21" t="str">
        <f>Roadway_total!E48</f>
        <v>EA</v>
      </c>
      <c r="F50" s="26" t="e">
        <f>'Manatee Avg'!#REF!</f>
        <v>#REF!</v>
      </c>
      <c r="G50" s="18" t="e">
        <f t="shared" si="0"/>
        <v>#REF!</v>
      </c>
      <c r="I50" s="29">
        <f>Roadway_total!I48</f>
        <v>0</v>
      </c>
      <c r="J50" s="29">
        <f>Roadway_total!J48</f>
        <v>0</v>
      </c>
      <c r="O50" s="110"/>
    </row>
    <row r="51" spans="1:15" x14ac:dyDescent="0.25">
      <c r="A51" s="16"/>
      <c r="B51" s="21" t="s">
        <v>80</v>
      </c>
      <c r="C51" s="21" t="s">
        <v>81</v>
      </c>
      <c r="D51" s="21">
        <v>40</v>
      </c>
      <c r="E51" s="21" t="str">
        <f>Roadway_total!E49</f>
        <v>EA</v>
      </c>
      <c r="F51" s="26" t="e">
        <f>'Manatee Avg'!#REF!</f>
        <v>#REF!</v>
      </c>
      <c r="G51" s="18" t="e">
        <f t="shared" si="0"/>
        <v>#REF!</v>
      </c>
      <c r="I51" s="29">
        <f>Roadway_total!I49</f>
        <v>0</v>
      </c>
      <c r="J51" s="29">
        <f>Roadway_total!J49</f>
        <v>0</v>
      </c>
      <c r="O51" s="110">
        <f>D51/30</f>
        <v>1.3333333333333333</v>
      </c>
    </row>
    <row r="52" spans="1:15" x14ac:dyDescent="0.25">
      <c r="A52" s="16"/>
      <c r="B52" s="21" t="s">
        <v>82</v>
      </c>
      <c r="C52" s="21" t="s">
        <v>83</v>
      </c>
      <c r="D52" s="21">
        <v>1.55</v>
      </c>
      <c r="E52" s="21" t="str">
        <f>Roadway_total!E50</f>
        <v>GM</v>
      </c>
      <c r="F52" s="26" t="e">
        <f>'Manatee Avg'!#REF!</f>
        <v>#REF!</v>
      </c>
      <c r="G52" s="18" t="e">
        <f t="shared" si="0"/>
        <v>#REF!</v>
      </c>
      <c r="I52" s="29">
        <f>Roadway_total!I50</f>
        <v>0</v>
      </c>
      <c r="J52" s="29">
        <f>Roadway_total!J50</f>
        <v>0</v>
      </c>
      <c r="O52" s="110">
        <f>D52*5280/2000</f>
        <v>4.0919999999999996</v>
      </c>
    </row>
    <row r="53" spans="1:15" x14ac:dyDescent="0.25">
      <c r="A53" s="16"/>
      <c r="B53" s="21" t="s">
        <v>84</v>
      </c>
      <c r="C53" s="21" t="s">
        <v>85</v>
      </c>
      <c r="D53" s="21">
        <v>750</v>
      </c>
      <c r="E53" s="21" t="str">
        <f>Roadway_total!E51</f>
        <v>LF</v>
      </c>
      <c r="F53" s="26" t="e">
        <f>'Manatee Avg'!#REF!</f>
        <v>#REF!</v>
      </c>
      <c r="G53" s="18" t="e">
        <f t="shared" si="0"/>
        <v>#REF!</v>
      </c>
      <c r="I53" s="29">
        <f>Roadway_total!I51</f>
        <v>0</v>
      </c>
      <c r="J53" s="29">
        <f>Roadway_total!J51</f>
        <v>0</v>
      </c>
      <c r="O53" s="110">
        <f>D53/2000</f>
        <v>0.375</v>
      </c>
    </row>
    <row r="54" spans="1:15" x14ac:dyDescent="0.25">
      <c r="A54" s="16"/>
      <c r="B54" s="21" t="s">
        <v>86</v>
      </c>
      <c r="C54" s="21" t="s">
        <v>87</v>
      </c>
      <c r="D54" s="21">
        <v>0.114</v>
      </c>
      <c r="E54" s="21" t="str">
        <f>Roadway_total!E52</f>
        <v>GM</v>
      </c>
      <c r="F54" s="26" t="e">
        <f>'Manatee Avg'!#REF!</f>
        <v>#REF!</v>
      </c>
      <c r="G54" s="18" t="e">
        <f t="shared" si="0"/>
        <v>#REF!</v>
      </c>
      <c r="I54" s="29">
        <f>Roadway_total!I52</f>
        <v>0</v>
      </c>
      <c r="J54" s="29">
        <f>Roadway_total!J52</f>
        <v>0</v>
      </c>
      <c r="O54" s="110">
        <f t="shared" ref="O54:O55" si="2">D54*5280/2000</f>
        <v>0.30096000000000006</v>
      </c>
    </row>
    <row r="55" spans="1:15" x14ac:dyDescent="0.25">
      <c r="A55" s="16"/>
      <c r="B55" s="21" t="s">
        <v>88</v>
      </c>
      <c r="C55" s="21" t="s">
        <v>89</v>
      </c>
      <c r="D55" s="21">
        <f>0.053+0.022</f>
        <v>7.4999999999999997E-2</v>
      </c>
      <c r="E55" s="21" t="str">
        <f>Roadway_total!E53</f>
        <v>GM</v>
      </c>
      <c r="F55" s="26" t="e">
        <f>'Manatee Avg'!#REF!</f>
        <v>#REF!</v>
      </c>
      <c r="G55" s="18" t="e">
        <f t="shared" si="0"/>
        <v>#REF!</v>
      </c>
      <c r="I55" s="29">
        <f>Roadway_total!I53</f>
        <v>0</v>
      </c>
      <c r="J55" s="29">
        <f>Roadway_total!J53</f>
        <v>0</v>
      </c>
      <c r="O55" s="110">
        <f t="shared" si="2"/>
        <v>0.19800000000000001</v>
      </c>
    </row>
    <row r="56" spans="1:15" x14ac:dyDescent="0.25">
      <c r="A56" s="16"/>
      <c r="B56" s="21" t="s">
        <v>90</v>
      </c>
      <c r="C56" s="21" t="s">
        <v>91</v>
      </c>
      <c r="D56" s="21">
        <f>48+6+12</f>
        <v>66</v>
      </c>
      <c r="E56" s="21" t="str">
        <f>Roadway_total!E54</f>
        <v>SF</v>
      </c>
      <c r="F56" s="26" t="e">
        <f>'Manatee Avg'!#REF!</f>
        <v>#REF!</v>
      </c>
      <c r="G56" s="18" t="e">
        <f t="shared" si="0"/>
        <v>#REF!</v>
      </c>
      <c r="I56" s="29">
        <f>Roadway_total!I54</f>
        <v>0</v>
      </c>
      <c r="J56" s="29">
        <f>Roadway_total!J54</f>
        <v>0</v>
      </c>
      <c r="O56" s="110">
        <f>D56/30</f>
        <v>2.2000000000000002</v>
      </c>
    </row>
    <row r="57" spans="1:15" x14ac:dyDescent="0.25">
      <c r="A57" s="16"/>
      <c r="B57" s="21" t="s">
        <v>92</v>
      </c>
      <c r="C57" s="21" t="s">
        <v>93</v>
      </c>
      <c r="D57" s="21">
        <v>1</v>
      </c>
      <c r="E57" s="21" t="str">
        <f>Roadway_total!E55</f>
        <v>LS</v>
      </c>
      <c r="F57" s="26" t="e">
        <f>'Manatee Avg'!#REF!</f>
        <v>#REF!</v>
      </c>
      <c r="G57" s="18" t="e">
        <f t="shared" si="0"/>
        <v>#REF!</v>
      </c>
      <c r="I57" s="29">
        <f>Roadway_total!I55</f>
        <v>0</v>
      </c>
      <c r="J57" s="29">
        <f>Roadway_total!J55</f>
        <v>0</v>
      </c>
      <c r="O57" s="110"/>
    </row>
    <row r="58" spans="1:15" x14ac:dyDescent="0.25">
      <c r="A58" s="16"/>
      <c r="B58" s="21" t="s">
        <v>94</v>
      </c>
      <c r="C58" s="21" t="s">
        <v>95</v>
      </c>
      <c r="D58" s="21">
        <v>22</v>
      </c>
      <c r="E58" s="21" t="str">
        <f>Roadway_total!E56</f>
        <v>AS</v>
      </c>
      <c r="F58" s="26" t="e">
        <f>'Manatee Avg'!#REF!</f>
        <v>#REF!</v>
      </c>
      <c r="G58" s="18" t="e">
        <f t="shared" si="0"/>
        <v>#REF!</v>
      </c>
      <c r="I58" s="29">
        <f>Roadway_total!I56</f>
        <v>0</v>
      </c>
      <c r="J58" s="29">
        <f>Roadway_total!J56</f>
        <v>0</v>
      </c>
      <c r="O58" s="110">
        <f>D58/6</f>
        <v>3.6666666666666665</v>
      </c>
    </row>
    <row r="59" spans="1:15" x14ac:dyDescent="0.25">
      <c r="A59" s="16"/>
      <c r="B59" s="21" t="s">
        <v>97</v>
      </c>
      <c r="C59" s="21" t="s">
        <v>98</v>
      </c>
      <c r="D59" s="21">
        <v>3</v>
      </c>
      <c r="E59" s="21" t="str">
        <f>Roadway_total!E57</f>
        <v>AS</v>
      </c>
      <c r="F59" s="26" t="e">
        <f>'Manatee Avg'!#REF!</f>
        <v>#REF!</v>
      </c>
      <c r="G59" s="18" t="e">
        <f t="shared" si="0"/>
        <v>#REF!</v>
      </c>
      <c r="I59" s="29">
        <f>Roadway_total!I57</f>
        <v>0</v>
      </c>
      <c r="J59" s="29">
        <f>Roadway_total!J57</f>
        <v>0</v>
      </c>
      <c r="O59" s="110">
        <f t="shared" ref="O59:O61" si="3">D59/6</f>
        <v>0.5</v>
      </c>
    </row>
    <row r="60" spans="1:15" x14ac:dyDescent="0.25">
      <c r="A60" s="16"/>
      <c r="B60" s="21" t="s">
        <v>99</v>
      </c>
      <c r="C60" s="21" t="s">
        <v>100</v>
      </c>
      <c r="D60" s="21">
        <v>8</v>
      </c>
      <c r="E60" s="21" t="str">
        <f>Roadway_total!E58</f>
        <v>AS</v>
      </c>
      <c r="F60" s="26" t="e">
        <f>'Manatee Avg'!#REF!</f>
        <v>#REF!</v>
      </c>
      <c r="G60" s="18" t="e">
        <f t="shared" si="0"/>
        <v>#REF!</v>
      </c>
      <c r="I60" s="29">
        <f>Roadway_total!I58</f>
        <v>0</v>
      </c>
      <c r="J60" s="29">
        <f>Roadway_total!J58</f>
        <v>0</v>
      </c>
      <c r="O60" s="110">
        <f t="shared" si="3"/>
        <v>1.3333333333333333</v>
      </c>
    </row>
    <row r="61" spans="1:15" x14ac:dyDescent="0.25">
      <c r="A61" s="16"/>
      <c r="B61" s="21" t="s">
        <v>101</v>
      </c>
      <c r="C61" s="21" t="s">
        <v>102</v>
      </c>
      <c r="D61" s="21">
        <f>1+3</f>
        <v>4</v>
      </c>
      <c r="E61" s="21" t="str">
        <f>Roadway_total!E59</f>
        <v>AS</v>
      </c>
      <c r="F61" s="26" t="e">
        <f>'Manatee Avg'!#REF!</f>
        <v>#REF!</v>
      </c>
      <c r="G61" s="18" t="e">
        <f t="shared" si="0"/>
        <v>#REF!</v>
      </c>
      <c r="I61" s="29">
        <f>Roadway_total!I59</f>
        <v>0</v>
      </c>
      <c r="J61" s="29">
        <f>Roadway_total!J59</f>
        <v>0</v>
      </c>
      <c r="O61" s="110">
        <f t="shared" si="3"/>
        <v>0.66666666666666663</v>
      </c>
    </row>
    <row r="62" spans="1:15" x14ac:dyDescent="0.25">
      <c r="A62" s="16"/>
      <c r="B62" s="22" t="s">
        <v>264</v>
      </c>
      <c r="C62" s="21" t="s">
        <v>103</v>
      </c>
      <c r="D62" s="21">
        <v>406</v>
      </c>
      <c r="E62" s="21" t="str">
        <f>Roadway_total!E60</f>
        <v>EA</v>
      </c>
      <c r="F62" s="26" t="e">
        <f>'Manatee Avg'!#REF!</f>
        <v>#REF!</v>
      </c>
      <c r="G62" s="18" t="e">
        <f t="shared" si="0"/>
        <v>#REF!</v>
      </c>
      <c r="I62" s="29">
        <f>Roadway_total!I60</f>
        <v>0</v>
      </c>
      <c r="J62" s="29">
        <f>Roadway_total!J60</f>
        <v>0</v>
      </c>
      <c r="O62" s="217">
        <f>SUM(D62:D64)/750</f>
        <v>0.85066666666666668</v>
      </c>
    </row>
    <row r="63" spans="1:15" x14ac:dyDescent="0.25">
      <c r="A63" s="16"/>
      <c r="B63" s="22" t="s">
        <v>264</v>
      </c>
      <c r="C63" s="21" t="s">
        <v>104</v>
      </c>
      <c r="D63" s="21">
        <v>192</v>
      </c>
      <c r="E63" s="21" t="str">
        <f>Roadway_total!E61</f>
        <v>EA</v>
      </c>
      <c r="F63" s="26" t="e">
        <f>'Manatee Avg'!#REF!</f>
        <v>#REF!</v>
      </c>
      <c r="G63" s="18" t="e">
        <f t="shared" si="0"/>
        <v>#REF!</v>
      </c>
      <c r="I63" s="29">
        <f>Roadway_total!I61</f>
        <v>0</v>
      </c>
      <c r="J63" s="29">
        <f>Roadway_total!J61</f>
        <v>0</v>
      </c>
      <c r="O63" s="221"/>
    </row>
    <row r="64" spans="1:15" x14ac:dyDescent="0.25">
      <c r="A64" s="16"/>
      <c r="B64" s="22" t="s">
        <v>264</v>
      </c>
      <c r="C64" s="21" t="s">
        <v>105</v>
      </c>
      <c r="D64" s="21">
        <v>40</v>
      </c>
      <c r="E64" s="21" t="s">
        <v>12</v>
      </c>
      <c r="F64" s="26" t="e">
        <f>'Manatee Avg'!#REF!</f>
        <v>#REF!</v>
      </c>
      <c r="G64" s="18" t="e">
        <f t="shared" si="0"/>
        <v>#REF!</v>
      </c>
      <c r="I64" s="29">
        <f>Roadway_total!I68</f>
        <v>0</v>
      </c>
      <c r="J64" s="29">
        <f>Roadway_total!J68</f>
        <v>0</v>
      </c>
      <c r="O64" s="218"/>
    </row>
    <row r="65" spans="1:15" x14ac:dyDescent="0.25">
      <c r="A65" s="16"/>
      <c r="B65" s="96" t="s">
        <v>283</v>
      </c>
      <c r="C65" s="7" t="s">
        <v>284</v>
      </c>
      <c r="D65" s="17">
        <v>350</v>
      </c>
      <c r="E65" s="16" t="s">
        <v>1</v>
      </c>
      <c r="F65" s="26" t="e">
        <f>'Manatee Avg'!#REF!</f>
        <v>#REF!</v>
      </c>
      <c r="G65" s="18" t="e">
        <f t="shared" si="0"/>
        <v>#REF!</v>
      </c>
      <c r="I65" s="29"/>
      <c r="J65" s="29"/>
      <c r="O65" s="110">
        <f>D65/2000</f>
        <v>0.17499999999999999</v>
      </c>
    </row>
    <row r="66" spans="1:15" x14ac:dyDescent="0.25">
      <c r="A66" s="16"/>
      <c r="B66" s="96" t="s">
        <v>285</v>
      </c>
      <c r="C66" s="7" t="s">
        <v>286</v>
      </c>
      <c r="D66" s="17">
        <v>210</v>
      </c>
      <c r="E66" s="16" t="s">
        <v>1</v>
      </c>
      <c r="F66" s="26" t="e">
        <f>'Manatee Avg'!#REF!</f>
        <v>#REF!</v>
      </c>
      <c r="G66" s="18" t="e">
        <f t="shared" si="0"/>
        <v>#REF!</v>
      </c>
      <c r="I66" s="29"/>
      <c r="J66" s="29"/>
      <c r="O66" s="110">
        <f>D66/2000</f>
        <v>0.105</v>
      </c>
    </row>
    <row r="67" spans="1:15" x14ac:dyDescent="0.25">
      <c r="A67" s="16"/>
      <c r="B67" s="96" t="s">
        <v>287</v>
      </c>
      <c r="C67" s="7" t="s">
        <v>288</v>
      </c>
      <c r="D67" s="41">
        <v>7.4999999999999997E-2</v>
      </c>
      <c r="E67" s="16" t="s">
        <v>69</v>
      </c>
      <c r="F67" s="26" t="e">
        <f>'Manatee Avg'!#REF!</f>
        <v>#REF!</v>
      </c>
      <c r="G67" s="18" t="e">
        <f t="shared" si="0"/>
        <v>#REF!</v>
      </c>
      <c r="I67" s="29"/>
      <c r="J67" s="29"/>
      <c r="O67" s="110">
        <f>D67*5280/2000</f>
        <v>0.19800000000000001</v>
      </c>
    </row>
    <row r="68" spans="1:15" x14ac:dyDescent="0.25">
      <c r="A68" s="16"/>
      <c r="B68" s="96" t="s">
        <v>289</v>
      </c>
      <c r="C68" s="7" t="s">
        <v>292</v>
      </c>
      <c r="D68" s="17">
        <v>25</v>
      </c>
      <c r="E68" s="16" t="s">
        <v>12</v>
      </c>
      <c r="F68" s="26" t="e">
        <f>'Manatee Avg'!#REF!</f>
        <v>#REF!</v>
      </c>
      <c r="G68" s="18" t="e">
        <f t="shared" si="0"/>
        <v>#REF!</v>
      </c>
      <c r="I68" s="29"/>
      <c r="J68" s="29"/>
      <c r="O68" s="110">
        <f>D68/30</f>
        <v>0.83333333333333337</v>
      </c>
    </row>
    <row r="69" spans="1:15" x14ac:dyDescent="0.25">
      <c r="A69" s="16"/>
      <c r="B69" s="96" t="s">
        <v>290</v>
      </c>
      <c r="C69" s="7" t="s">
        <v>294</v>
      </c>
      <c r="D69" s="41">
        <v>0.75800000000000001</v>
      </c>
      <c r="E69" s="16" t="s">
        <v>69</v>
      </c>
      <c r="F69" s="26" t="e">
        <f>'Manatee Avg'!#REF!</f>
        <v>#REF!</v>
      </c>
      <c r="G69" s="18" t="e">
        <f t="shared" si="0"/>
        <v>#REF!</v>
      </c>
      <c r="I69" s="29"/>
      <c r="J69" s="29"/>
      <c r="O69" s="110">
        <f>D69*5280/2000</f>
        <v>2.0011200000000002</v>
      </c>
    </row>
    <row r="70" spans="1:15" x14ac:dyDescent="0.25">
      <c r="A70" s="16"/>
      <c r="B70" s="96" t="s">
        <v>291</v>
      </c>
      <c r="C70" s="7" t="s">
        <v>293</v>
      </c>
      <c r="D70" s="41">
        <v>0.77500000000000002</v>
      </c>
      <c r="E70" s="16" t="s">
        <v>69</v>
      </c>
      <c r="F70" s="26" t="e">
        <f>'Manatee Avg'!#REF!</f>
        <v>#REF!</v>
      </c>
      <c r="G70" s="18" t="e">
        <f t="shared" si="0"/>
        <v>#REF!</v>
      </c>
      <c r="I70" s="29"/>
      <c r="J70" s="29"/>
      <c r="O70" s="110">
        <f>D70*5280/2000</f>
        <v>2.0459999999999998</v>
      </c>
    </row>
    <row r="71" spans="1:15" x14ac:dyDescent="0.25">
      <c r="A71" s="35"/>
      <c r="B71" s="32"/>
      <c r="C71" s="33"/>
      <c r="D71" s="34"/>
      <c r="E71" s="35"/>
      <c r="F71" s="36"/>
      <c r="G71" s="37"/>
      <c r="I71" s="29"/>
      <c r="J71" s="29"/>
      <c r="O71" s="110"/>
    </row>
    <row r="72" spans="1:15" x14ac:dyDescent="0.25">
      <c r="A72" s="16"/>
      <c r="B72" s="21" t="s">
        <v>181</v>
      </c>
      <c r="C72" s="7" t="s">
        <v>182</v>
      </c>
      <c r="D72" s="27">
        <v>60</v>
      </c>
      <c r="E72" s="16" t="s">
        <v>2</v>
      </c>
      <c r="F72" s="23" t="e">
        <f>'Manatee Avg'!#REF!</f>
        <v>#REF!</v>
      </c>
      <c r="G72" s="18" t="e">
        <f>F72*D72</f>
        <v>#REF!</v>
      </c>
      <c r="I72" s="29">
        <v>4.1500000000000004</v>
      </c>
      <c r="J72" s="29">
        <v>2.16</v>
      </c>
      <c r="O72" s="110"/>
    </row>
    <row r="73" spans="1:15" x14ac:dyDescent="0.25">
      <c r="A73" s="16"/>
      <c r="B73" s="21" t="s">
        <v>195</v>
      </c>
      <c r="C73" s="7" t="s">
        <v>196</v>
      </c>
      <c r="D73" s="17">
        <v>2750</v>
      </c>
      <c r="E73" s="16" t="s">
        <v>1</v>
      </c>
      <c r="F73" s="23" t="e">
        <f>'Manatee Avg'!#REF!</f>
        <v>#REF!</v>
      </c>
      <c r="G73" s="18" t="e">
        <f t="shared" ref="G73:G117" si="4">F73*D73</f>
        <v>#REF!</v>
      </c>
      <c r="I73" s="29">
        <v>1.8</v>
      </c>
      <c r="J73" s="29">
        <v>1.37</v>
      </c>
      <c r="O73" s="110">
        <f>D73/1500</f>
        <v>1.8333333333333333</v>
      </c>
    </row>
    <row r="74" spans="1:15" x14ac:dyDescent="0.25">
      <c r="A74" s="16"/>
      <c r="B74" s="21" t="s">
        <v>183</v>
      </c>
      <c r="C74" s="7" t="s">
        <v>184</v>
      </c>
      <c r="D74" s="17">
        <v>0</v>
      </c>
      <c r="E74" s="16" t="s">
        <v>1</v>
      </c>
      <c r="F74" s="23" t="e">
        <f>'Manatee Avg'!#REF!</f>
        <v>#REF!</v>
      </c>
      <c r="G74" s="18" t="e">
        <f t="shared" si="4"/>
        <v>#REF!</v>
      </c>
      <c r="I74" s="29">
        <v>10.08</v>
      </c>
      <c r="J74" s="29">
        <v>4.01</v>
      </c>
      <c r="O74" s="110">
        <f>D74/500</f>
        <v>0</v>
      </c>
    </row>
    <row r="75" spans="1:15" x14ac:dyDescent="0.25">
      <c r="A75" s="16"/>
      <c r="B75" s="21" t="s">
        <v>222</v>
      </c>
      <c r="C75" s="7" t="s">
        <v>223</v>
      </c>
      <c r="D75" s="17">
        <v>1</v>
      </c>
      <c r="E75" s="16" t="s">
        <v>12</v>
      </c>
      <c r="F75" s="23" t="e">
        <f>'Manatee Avg'!#REF!</f>
        <v>#REF!</v>
      </c>
      <c r="G75" s="18" t="e">
        <f t="shared" si="4"/>
        <v>#REF!</v>
      </c>
      <c r="I75" s="29">
        <v>2691.13</v>
      </c>
      <c r="J75" s="29">
        <v>1428.64</v>
      </c>
      <c r="O75" s="110">
        <f>D75/5</f>
        <v>0.2</v>
      </c>
    </row>
    <row r="76" spans="1:15" x14ac:dyDescent="0.25">
      <c r="A76" s="16"/>
      <c r="B76" s="21" t="s">
        <v>197</v>
      </c>
      <c r="C76" s="7" t="s">
        <v>198</v>
      </c>
      <c r="D76" s="17">
        <v>21</v>
      </c>
      <c r="E76" s="16" t="s">
        <v>12</v>
      </c>
      <c r="F76" s="23" t="e">
        <f>'Manatee Avg'!#REF!</f>
        <v>#REF!</v>
      </c>
      <c r="G76" s="18" t="e">
        <f t="shared" si="4"/>
        <v>#REF!</v>
      </c>
      <c r="I76" s="29">
        <v>153.55000000000001</v>
      </c>
      <c r="J76" s="29">
        <v>123.03</v>
      </c>
      <c r="O76" s="110"/>
    </row>
    <row r="77" spans="1:15" x14ac:dyDescent="0.25">
      <c r="A77" s="16"/>
      <c r="B77" s="21" t="s">
        <v>211</v>
      </c>
      <c r="C77" s="7" t="s">
        <v>212</v>
      </c>
      <c r="D77" s="17">
        <v>1</v>
      </c>
      <c r="E77" s="16" t="s">
        <v>12</v>
      </c>
      <c r="F77" s="23" t="e">
        <f>'Manatee Avg'!#REF!</f>
        <v>#REF!</v>
      </c>
      <c r="G77" s="18" t="e">
        <f t="shared" si="4"/>
        <v>#REF!</v>
      </c>
      <c r="I77" s="29">
        <v>6851.06</v>
      </c>
      <c r="J77" s="29"/>
      <c r="O77" s="223">
        <f>SUM(D77:D90)/6</f>
        <v>3.1666666666666665</v>
      </c>
    </row>
    <row r="78" spans="1:15" x14ac:dyDescent="0.25">
      <c r="A78" s="16"/>
      <c r="B78" s="21" t="s">
        <v>199</v>
      </c>
      <c r="C78" s="7" t="s">
        <v>200</v>
      </c>
      <c r="D78" s="17"/>
      <c r="E78" s="16" t="s">
        <v>12</v>
      </c>
      <c r="F78" s="23" t="e">
        <f>'Manatee Avg'!#REF!</f>
        <v>#REF!</v>
      </c>
      <c r="G78" s="18" t="e">
        <f t="shared" si="4"/>
        <v>#REF!</v>
      </c>
      <c r="I78" s="29">
        <v>9245.9699999999993</v>
      </c>
      <c r="J78" s="29"/>
      <c r="O78" s="224"/>
    </row>
    <row r="79" spans="1:15" x14ac:dyDescent="0.25">
      <c r="A79" s="16"/>
      <c r="B79" s="21" t="s">
        <v>201</v>
      </c>
      <c r="C79" s="7" t="s">
        <v>202</v>
      </c>
      <c r="D79" s="17">
        <v>8</v>
      </c>
      <c r="E79" s="16" t="s">
        <v>12</v>
      </c>
      <c r="F79" s="23" t="e">
        <f>'Manatee Avg'!#REF!</f>
        <v>#REF!</v>
      </c>
      <c r="G79" s="18" t="e">
        <f t="shared" si="4"/>
        <v>#REF!</v>
      </c>
      <c r="I79" s="29">
        <v>5704.21</v>
      </c>
      <c r="J79" s="29">
        <v>4813.37</v>
      </c>
      <c r="O79" s="224"/>
    </row>
    <row r="80" spans="1:15" x14ac:dyDescent="0.25">
      <c r="A80" s="16"/>
      <c r="B80" s="21" t="s">
        <v>203</v>
      </c>
      <c r="C80" s="7" t="s">
        <v>204</v>
      </c>
      <c r="D80" s="17">
        <v>2</v>
      </c>
      <c r="E80" s="16" t="s">
        <v>12</v>
      </c>
      <c r="F80" s="23" t="e">
        <f>'Manatee Avg'!#REF!</f>
        <v>#REF!</v>
      </c>
      <c r="G80" s="18" t="e">
        <f t="shared" si="4"/>
        <v>#REF!</v>
      </c>
      <c r="I80" s="29">
        <v>5959.82</v>
      </c>
      <c r="J80" s="29">
        <v>5630.6</v>
      </c>
      <c r="O80" s="224"/>
    </row>
    <row r="81" spans="1:15" x14ac:dyDescent="0.25">
      <c r="A81" s="16"/>
      <c r="B81" s="21" t="s">
        <v>213</v>
      </c>
      <c r="C81" s="7" t="s">
        <v>214</v>
      </c>
      <c r="D81" s="17">
        <v>0</v>
      </c>
      <c r="E81" s="16" t="s">
        <v>12</v>
      </c>
      <c r="F81" s="23" t="e">
        <f>'Manatee Avg'!#REF!</f>
        <v>#REF!</v>
      </c>
      <c r="G81" s="18" t="e">
        <f t="shared" si="4"/>
        <v>#REF!</v>
      </c>
      <c r="I81" s="29">
        <v>9340</v>
      </c>
      <c r="J81" s="29"/>
      <c r="O81" s="224"/>
    </row>
    <row r="82" spans="1:15" x14ac:dyDescent="0.25">
      <c r="A82" s="16"/>
      <c r="B82" s="21" t="s">
        <v>224</v>
      </c>
      <c r="C82" s="7" t="s">
        <v>225</v>
      </c>
      <c r="D82" s="17">
        <v>1</v>
      </c>
      <c r="E82" s="16" t="s">
        <v>12</v>
      </c>
      <c r="F82" s="23" t="e">
        <f>'Manatee Avg'!#REF!</f>
        <v>#REF!</v>
      </c>
      <c r="G82" s="18" t="e">
        <f t="shared" si="4"/>
        <v>#REF!</v>
      </c>
      <c r="I82" s="29">
        <v>10558.75</v>
      </c>
      <c r="J82" s="29"/>
      <c r="O82" s="224"/>
    </row>
    <row r="83" spans="1:15" x14ac:dyDescent="0.25">
      <c r="A83" s="16"/>
      <c r="B83" s="21" t="s">
        <v>226</v>
      </c>
      <c r="C83" s="7" t="s">
        <v>227</v>
      </c>
      <c r="D83" s="17">
        <v>3</v>
      </c>
      <c r="E83" s="16" t="s">
        <v>12</v>
      </c>
      <c r="F83" s="23" t="e">
        <f>'Manatee Avg'!#REF!</f>
        <v>#REF!</v>
      </c>
      <c r="G83" s="18" t="e">
        <f t="shared" si="4"/>
        <v>#REF!</v>
      </c>
      <c r="I83" s="29">
        <v>11355.89</v>
      </c>
      <c r="J83" s="29">
        <v>8900</v>
      </c>
      <c r="O83" s="224"/>
    </row>
    <row r="84" spans="1:15" x14ac:dyDescent="0.25">
      <c r="A84" s="16"/>
      <c r="B84" s="21" t="s">
        <v>228</v>
      </c>
      <c r="C84" s="7" t="s">
        <v>229</v>
      </c>
      <c r="D84" s="17">
        <v>2</v>
      </c>
      <c r="E84" s="16" t="s">
        <v>12</v>
      </c>
      <c r="F84" s="23" t="e">
        <f>'Manatee Avg'!#REF!</f>
        <v>#REF!</v>
      </c>
      <c r="G84" s="18" t="e">
        <f t="shared" si="4"/>
        <v>#REF!</v>
      </c>
      <c r="I84" s="29">
        <v>5726.32</v>
      </c>
      <c r="J84" s="29">
        <v>6777.69</v>
      </c>
      <c r="O84" s="224"/>
    </row>
    <row r="85" spans="1:15" x14ac:dyDescent="0.25">
      <c r="A85" s="16"/>
      <c r="B85" s="21" t="s">
        <v>215</v>
      </c>
      <c r="C85" s="7" t="s">
        <v>216</v>
      </c>
      <c r="D85" s="17">
        <v>2</v>
      </c>
      <c r="E85" s="16" t="s">
        <v>12</v>
      </c>
      <c r="F85" s="23" t="e">
        <f>'Manatee Avg'!#REF!</f>
        <v>#REF!</v>
      </c>
      <c r="G85" s="18" t="e">
        <f t="shared" si="4"/>
        <v>#REF!</v>
      </c>
      <c r="I85" s="29">
        <v>4178.3599999999997</v>
      </c>
      <c r="J85" s="29">
        <v>4358.4799999999996</v>
      </c>
      <c r="O85" s="224"/>
    </row>
    <row r="86" spans="1:15" x14ac:dyDescent="0.25">
      <c r="A86" s="16"/>
      <c r="B86" s="103" t="s">
        <v>265</v>
      </c>
      <c r="C86" s="7" t="s">
        <v>266</v>
      </c>
      <c r="D86" s="17">
        <v>0</v>
      </c>
      <c r="E86" s="16" t="s">
        <v>12</v>
      </c>
      <c r="F86" s="23" t="e">
        <f>'Manatee Avg'!#REF!</f>
        <v>#REF!</v>
      </c>
      <c r="G86" s="18" t="e">
        <f t="shared" si="4"/>
        <v>#REF!</v>
      </c>
      <c r="I86" s="29">
        <v>6952.64</v>
      </c>
      <c r="J86" s="29">
        <v>4000</v>
      </c>
      <c r="O86" s="224"/>
    </row>
    <row r="87" spans="1:15" x14ac:dyDescent="0.25">
      <c r="A87" s="16"/>
      <c r="B87" s="103" t="s">
        <v>267</v>
      </c>
      <c r="C87" s="7" t="s">
        <v>268</v>
      </c>
      <c r="D87" s="17">
        <v>0</v>
      </c>
      <c r="E87" s="16" t="s">
        <v>12</v>
      </c>
      <c r="F87" s="23" t="e">
        <f>'Manatee Avg'!#REF!</f>
        <v>#REF!</v>
      </c>
      <c r="G87" s="18" t="e">
        <f t="shared" si="4"/>
        <v>#REF!</v>
      </c>
      <c r="I87" s="29">
        <v>4521.03</v>
      </c>
      <c r="J87" s="29"/>
      <c r="O87" s="224"/>
    </row>
    <row r="88" spans="1:15" x14ac:dyDescent="0.25">
      <c r="A88" s="16"/>
      <c r="B88" s="103" t="s">
        <v>269</v>
      </c>
      <c r="C88" s="7" t="s">
        <v>270</v>
      </c>
      <c r="D88" s="17">
        <v>0</v>
      </c>
      <c r="E88" s="16" t="s">
        <v>12</v>
      </c>
      <c r="F88" s="23" t="e">
        <f>'Manatee Avg'!#REF!</f>
        <v>#REF!</v>
      </c>
      <c r="G88" s="18" t="e">
        <f t="shared" si="4"/>
        <v>#REF!</v>
      </c>
      <c r="I88" s="29">
        <v>8336</v>
      </c>
      <c r="J88" s="29"/>
      <c r="O88" s="224"/>
    </row>
    <row r="89" spans="1:15" x14ac:dyDescent="0.25">
      <c r="A89" s="16"/>
      <c r="B89" s="103" t="s">
        <v>230</v>
      </c>
      <c r="C89" s="7" t="s">
        <v>231</v>
      </c>
      <c r="D89" s="17">
        <v>0</v>
      </c>
      <c r="E89" s="16" t="s">
        <v>12</v>
      </c>
      <c r="F89" s="23" t="e">
        <f>'Manatee Avg'!#REF!</f>
        <v>#REF!</v>
      </c>
      <c r="G89" s="18" t="e">
        <f t="shared" si="4"/>
        <v>#REF!</v>
      </c>
      <c r="I89" s="29">
        <v>4819.96</v>
      </c>
      <c r="J89" s="29">
        <v>4641.09</v>
      </c>
      <c r="O89" s="224"/>
    </row>
    <row r="90" spans="1:15" x14ac:dyDescent="0.25">
      <c r="A90" s="16"/>
      <c r="B90" s="103" t="s">
        <v>205</v>
      </c>
      <c r="C90" s="7" t="s">
        <v>206</v>
      </c>
      <c r="D90" s="17">
        <v>0</v>
      </c>
      <c r="E90" s="16" t="s">
        <v>12</v>
      </c>
      <c r="F90" s="23" t="e">
        <f>'Manatee Avg'!#REF!</f>
        <v>#REF!</v>
      </c>
      <c r="G90" s="18" t="e">
        <f t="shared" si="4"/>
        <v>#REF!</v>
      </c>
      <c r="I90" s="29">
        <v>4731.49</v>
      </c>
      <c r="J90" s="29"/>
      <c r="O90" s="225"/>
    </row>
    <row r="91" spans="1:15" x14ac:dyDescent="0.25">
      <c r="A91" s="16"/>
      <c r="B91" s="103" t="s">
        <v>232</v>
      </c>
      <c r="C91" s="7" t="s">
        <v>233</v>
      </c>
      <c r="D91" s="17">
        <v>0</v>
      </c>
      <c r="E91" s="16" t="s">
        <v>12</v>
      </c>
      <c r="F91" s="23" t="e">
        <f>'Manatee Avg'!#REF!</f>
        <v>#REF!</v>
      </c>
      <c r="G91" s="18" t="e">
        <f t="shared" si="4"/>
        <v>#REF!</v>
      </c>
      <c r="I91" s="29">
        <v>5229.62</v>
      </c>
      <c r="J91" s="29">
        <v>3578.96</v>
      </c>
      <c r="O91" s="217">
        <f>SUM(D91:D92)/4</f>
        <v>0.25</v>
      </c>
    </row>
    <row r="92" spans="1:15" x14ac:dyDescent="0.25">
      <c r="A92" s="16"/>
      <c r="B92" s="103" t="s">
        <v>187</v>
      </c>
      <c r="C92" s="7" t="s">
        <v>188</v>
      </c>
      <c r="D92" s="17">
        <v>1</v>
      </c>
      <c r="E92" s="16" t="s">
        <v>12</v>
      </c>
      <c r="F92" s="23" t="e">
        <f>'Manatee Avg'!#REF!</f>
        <v>#REF!</v>
      </c>
      <c r="G92" s="18" t="e">
        <f t="shared" si="4"/>
        <v>#REF!</v>
      </c>
      <c r="I92" s="29">
        <v>10669.88</v>
      </c>
      <c r="J92" s="29">
        <v>3578.96</v>
      </c>
      <c r="O92" s="218"/>
    </row>
    <row r="93" spans="1:15" x14ac:dyDescent="0.25">
      <c r="A93" s="16"/>
      <c r="B93" s="103" t="s">
        <v>185</v>
      </c>
      <c r="C93" s="7" t="s">
        <v>186</v>
      </c>
      <c r="D93" s="17">
        <v>1</v>
      </c>
      <c r="E93" s="16" t="s">
        <v>12</v>
      </c>
      <c r="F93" s="23" t="e">
        <f>'Manatee Avg'!#REF!</f>
        <v>#REF!</v>
      </c>
      <c r="G93" s="18" t="e">
        <f t="shared" si="4"/>
        <v>#REF!</v>
      </c>
      <c r="I93" s="29">
        <v>4890.3</v>
      </c>
      <c r="J93" s="29">
        <v>4562.74</v>
      </c>
      <c r="O93" s="110">
        <f>D93/4</f>
        <v>0.25</v>
      </c>
    </row>
    <row r="94" spans="1:15" x14ac:dyDescent="0.25">
      <c r="A94" s="16"/>
      <c r="B94" s="103">
        <v>430175118</v>
      </c>
      <c r="C94" s="7" t="s">
        <v>207</v>
      </c>
      <c r="D94" s="17">
        <f>718+33</f>
        <v>751</v>
      </c>
      <c r="E94" s="16" t="s">
        <v>1</v>
      </c>
      <c r="F94" s="23" t="e">
        <f>'Manatee Avg'!#REF!</f>
        <v>#REF!</v>
      </c>
      <c r="G94" s="18" t="e">
        <f t="shared" si="4"/>
        <v>#REF!</v>
      </c>
      <c r="I94" s="29">
        <v>88.89</v>
      </c>
      <c r="J94" s="29">
        <v>70.84</v>
      </c>
      <c r="O94" s="217">
        <f>SUM(D94:D103)/200</f>
        <v>11.98</v>
      </c>
    </row>
    <row r="95" spans="1:15" x14ac:dyDescent="0.25">
      <c r="A95" s="16"/>
      <c r="B95" s="103">
        <v>430175124</v>
      </c>
      <c r="C95" s="7" t="s">
        <v>208</v>
      </c>
      <c r="D95" s="17">
        <v>0</v>
      </c>
      <c r="E95" s="16" t="s">
        <v>1</v>
      </c>
      <c r="F95" s="23" t="e">
        <f>'Manatee Avg'!#REF!</f>
        <v>#REF!</v>
      </c>
      <c r="G95" s="18" t="e">
        <f t="shared" si="4"/>
        <v>#REF!</v>
      </c>
      <c r="I95" s="29">
        <v>103.43</v>
      </c>
      <c r="J95" s="29">
        <v>89.42</v>
      </c>
      <c r="O95" s="221"/>
    </row>
    <row r="96" spans="1:15" x14ac:dyDescent="0.25">
      <c r="A96" s="16"/>
      <c r="B96" s="103">
        <v>430175130</v>
      </c>
      <c r="C96" s="7" t="s">
        <v>217</v>
      </c>
      <c r="D96" s="17">
        <v>0</v>
      </c>
      <c r="E96" s="16" t="s">
        <v>1</v>
      </c>
      <c r="F96" s="23" t="e">
        <f>'Manatee Avg'!#REF!</f>
        <v>#REF!</v>
      </c>
      <c r="G96" s="18" t="e">
        <f t="shared" si="4"/>
        <v>#REF!</v>
      </c>
      <c r="I96" s="29">
        <v>127.9</v>
      </c>
      <c r="J96" s="29">
        <v>102.54</v>
      </c>
      <c r="O96" s="221"/>
    </row>
    <row r="97" spans="1:15" x14ac:dyDescent="0.25">
      <c r="A97" s="16"/>
      <c r="B97" s="103">
        <v>430175218</v>
      </c>
      <c r="C97" s="7" t="s">
        <v>234</v>
      </c>
      <c r="D97" s="17">
        <v>239</v>
      </c>
      <c r="E97" s="16" t="s">
        <v>1</v>
      </c>
      <c r="F97" s="23" t="e">
        <f>'Manatee Avg'!#REF!</f>
        <v>#REF!</v>
      </c>
      <c r="G97" s="18" t="e">
        <f t="shared" si="4"/>
        <v>#REF!</v>
      </c>
      <c r="I97" s="29">
        <v>113.08</v>
      </c>
      <c r="J97" s="29">
        <v>68.52</v>
      </c>
      <c r="O97" s="221"/>
    </row>
    <row r="98" spans="1:15" x14ac:dyDescent="0.25">
      <c r="A98" s="16"/>
      <c r="B98" s="103">
        <v>430175224</v>
      </c>
      <c r="C98" s="7" t="s">
        <v>209</v>
      </c>
      <c r="D98" s="17">
        <v>373</v>
      </c>
      <c r="E98" s="16" t="s">
        <v>1</v>
      </c>
      <c r="F98" s="23" t="e">
        <f>'Manatee Avg'!#REF!</f>
        <v>#REF!</v>
      </c>
      <c r="G98" s="18" t="e">
        <f t="shared" si="4"/>
        <v>#REF!</v>
      </c>
      <c r="I98" s="29">
        <v>122.63</v>
      </c>
      <c r="J98" s="29">
        <v>79.84</v>
      </c>
      <c r="O98" s="221"/>
    </row>
    <row r="99" spans="1:15" x14ac:dyDescent="0.25">
      <c r="A99" s="16"/>
      <c r="B99" s="103">
        <v>430175230</v>
      </c>
      <c r="C99" s="7" t="s">
        <v>235</v>
      </c>
      <c r="D99" s="17">
        <v>779</v>
      </c>
      <c r="E99" s="16" t="s">
        <v>1</v>
      </c>
      <c r="F99" s="23" t="e">
        <f>'Manatee Avg'!#REF!</f>
        <v>#REF!</v>
      </c>
      <c r="G99" s="18" t="e">
        <f t="shared" si="4"/>
        <v>#REF!</v>
      </c>
      <c r="I99" s="29">
        <v>168.45</v>
      </c>
      <c r="J99" s="29">
        <v>136</v>
      </c>
      <c r="O99" s="221"/>
    </row>
    <row r="100" spans="1:15" x14ac:dyDescent="0.25">
      <c r="A100" s="16"/>
      <c r="B100" s="103">
        <v>430175236</v>
      </c>
      <c r="C100" s="7" t="s">
        <v>236</v>
      </c>
      <c r="D100" s="17">
        <v>119</v>
      </c>
      <c r="E100" s="16" t="s">
        <v>1</v>
      </c>
      <c r="F100" s="23" t="e">
        <f>'Manatee Avg'!#REF!</f>
        <v>#REF!</v>
      </c>
      <c r="G100" s="18" t="e">
        <f t="shared" si="4"/>
        <v>#REF!</v>
      </c>
      <c r="I100" s="29">
        <v>193.99</v>
      </c>
      <c r="J100" s="29"/>
      <c r="O100" s="221"/>
    </row>
    <row r="101" spans="1:15" x14ac:dyDescent="0.25">
      <c r="A101" s="16"/>
      <c r="B101" s="103">
        <v>430175242</v>
      </c>
      <c r="C101" s="7" t="s">
        <v>237</v>
      </c>
      <c r="D101" s="17">
        <v>53</v>
      </c>
      <c r="E101" s="16" t="s">
        <v>1</v>
      </c>
      <c r="F101" s="23" t="e">
        <f>'Manatee Avg'!#REF!</f>
        <v>#REF!</v>
      </c>
      <c r="G101" s="18" t="e">
        <f t="shared" si="4"/>
        <v>#REF!</v>
      </c>
      <c r="I101" s="29">
        <v>251.7</v>
      </c>
      <c r="J101" s="29"/>
      <c r="O101" s="221"/>
    </row>
    <row r="102" spans="1:15" x14ac:dyDescent="0.25">
      <c r="A102" s="16"/>
      <c r="B102" s="103">
        <v>430175248</v>
      </c>
      <c r="C102" s="7" t="s">
        <v>238</v>
      </c>
      <c r="D102" s="17">
        <v>8</v>
      </c>
      <c r="E102" s="16" t="s">
        <v>1</v>
      </c>
      <c r="F102" s="23" t="e">
        <f>'Manatee Avg'!#REF!</f>
        <v>#REF!</v>
      </c>
      <c r="G102" s="18" t="e">
        <f t="shared" si="4"/>
        <v>#REF!</v>
      </c>
      <c r="I102" s="29">
        <v>300.23</v>
      </c>
      <c r="J102" s="29"/>
      <c r="O102" s="221"/>
    </row>
    <row r="103" spans="1:15" x14ac:dyDescent="0.25">
      <c r="A103" s="16"/>
      <c r="B103" s="103">
        <v>430175260</v>
      </c>
      <c r="C103" s="7" t="s">
        <v>189</v>
      </c>
      <c r="D103" s="17">
        <v>74</v>
      </c>
      <c r="E103" s="16" t="s">
        <v>1</v>
      </c>
      <c r="F103" s="23" t="e">
        <f>'Manatee Avg'!#REF!</f>
        <v>#REF!</v>
      </c>
      <c r="G103" s="18" t="e">
        <f t="shared" si="4"/>
        <v>#REF!</v>
      </c>
      <c r="I103" s="29">
        <v>456.95</v>
      </c>
      <c r="J103" s="29"/>
      <c r="O103" s="218"/>
    </row>
    <row r="104" spans="1:15" x14ac:dyDescent="0.25">
      <c r="A104" s="16"/>
      <c r="B104" s="103">
        <v>430524120</v>
      </c>
      <c r="C104" s="7" t="s">
        <v>276</v>
      </c>
      <c r="D104" s="17">
        <v>1</v>
      </c>
      <c r="E104" s="16" t="s">
        <v>12</v>
      </c>
      <c r="F104" s="118">
        <v>6313</v>
      </c>
      <c r="G104" s="18">
        <f t="shared" si="4"/>
        <v>6313</v>
      </c>
      <c r="I104" s="106">
        <v>3830.31</v>
      </c>
      <c r="J104" s="29"/>
      <c r="O104" s="217">
        <f>SUM(D104:D106)/1</f>
        <v>3</v>
      </c>
    </row>
    <row r="105" spans="1:15" x14ac:dyDescent="0.25">
      <c r="A105" s="16"/>
      <c r="B105" s="103">
        <v>430548200</v>
      </c>
      <c r="C105" s="7" t="s">
        <v>277</v>
      </c>
      <c r="D105" s="17">
        <v>1</v>
      </c>
      <c r="E105" s="16" t="s">
        <v>12</v>
      </c>
      <c r="F105" s="23" t="e">
        <f>'Manatee Avg'!#REF!</f>
        <v>#REF!</v>
      </c>
      <c r="G105" s="18" t="e">
        <f t="shared" si="4"/>
        <v>#REF!</v>
      </c>
      <c r="I105" s="29">
        <v>8064</v>
      </c>
      <c r="J105" s="29"/>
      <c r="O105" s="221"/>
    </row>
    <row r="106" spans="1:15" x14ac:dyDescent="0.25">
      <c r="A106" s="16"/>
      <c r="B106" s="103">
        <v>430560200</v>
      </c>
      <c r="C106" s="7" t="s">
        <v>278</v>
      </c>
      <c r="D106" s="17">
        <v>1</v>
      </c>
      <c r="E106" s="16" t="s">
        <v>12</v>
      </c>
      <c r="F106" s="23" t="e">
        <f>'Manatee Avg'!#REF!</f>
        <v>#REF!</v>
      </c>
      <c r="G106" s="18" t="e">
        <f t="shared" si="4"/>
        <v>#REF!</v>
      </c>
      <c r="I106" s="29">
        <v>18085.599999999999</v>
      </c>
      <c r="J106" s="29"/>
      <c r="O106" s="218"/>
    </row>
    <row r="107" spans="1:15" x14ac:dyDescent="0.25">
      <c r="A107" s="16"/>
      <c r="B107" s="103" t="s">
        <v>239</v>
      </c>
      <c r="C107" s="7" t="s">
        <v>240</v>
      </c>
      <c r="D107" s="27">
        <v>4.3</v>
      </c>
      <c r="E107" s="16" t="s">
        <v>14</v>
      </c>
      <c r="F107" s="23" t="e">
        <f>'Manatee Avg'!#REF!</f>
        <v>#REF!</v>
      </c>
      <c r="G107" s="18" t="e">
        <f t="shared" si="4"/>
        <v>#REF!</v>
      </c>
      <c r="I107" s="29">
        <v>180.49</v>
      </c>
      <c r="J107" s="29">
        <v>556.24</v>
      </c>
      <c r="O107" s="110"/>
    </row>
    <row r="108" spans="1:15" x14ac:dyDescent="0.25">
      <c r="A108" s="16"/>
      <c r="B108" s="103">
        <v>430982123</v>
      </c>
      <c r="C108" s="7" t="s">
        <v>218</v>
      </c>
      <c r="D108" s="17">
        <v>2</v>
      </c>
      <c r="E108" s="16" t="s">
        <v>12</v>
      </c>
      <c r="F108" s="23" t="e">
        <f>'Manatee Avg'!#REF!</f>
        <v>#REF!</v>
      </c>
      <c r="G108" s="18" t="e">
        <f t="shared" si="4"/>
        <v>#REF!</v>
      </c>
      <c r="I108" s="29">
        <v>1783.91</v>
      </c>
      <c r="J108" s="29"/>
      <c r="O108" s="217">
        <f>SUM(D108:D113)/13</f>
        <v>0.46153846153846156</v>
      </c>
    </row>
    <row r="109" spans="1:15" x14ac:dyDescent="0.25">
      <c r="A109" s="16"/>
      <c r="B109" s="103">
        <v>430982125</v>
      </c>
      <c r="C109" s="7" t="s">
        <v>210</v>
      </c>
      <c r="D109" s="17">
        <v>1</v>
      </c>
      <c r="E109" s="16" t="s">
        <v>12</v>
      </c>
      <c r="F109" s="23" t="e">
        <f>'Manatee Avg'!#REF!</f>
        <v>#REF!</v>
      </c>
      <c r="G109" s="18" t="e">
        <f t="shared" si="4"/>
        <v>#REF!</v>
      </c>
      <c r="I109" s="29">
        <v>1856.43</v>
      </c>
      <c r="J109" s="29">
        <v>2000</v>
      </c>
      <c r="O109" s="221"/>
    </row>
    <row r="110" spans="1:15" x14ac:dyDescent="0.25">
      <c r="A110" s="16"/>
      <c r="B110" s="103">
        <v>430982129</v>
      </c>
      <c r="C110" s="7" t="s">
        <v>219</v>
      </c>
      <c r="D110" s="17">
        <v>0</v>
      </c>
      <c r="E110" s="16" t="s">
        <v>12</v>
      </c>
      <c r="F110" s="23" t="e">
        <f>'Manatee Avg'!#REF!</f>
        <v>#REF!</v>
      </c>
      <c r="G110" s="18" t="e">
        <f t="shared" si="4"/>
        <v>#REF!</v>
      </c>
      <c r="I110" s="29">
        <v>2150.75</v>
      </c>
      <c r="J110" s="29">
        <v>2100</v>
      </c>
      <c r="O110" s="221"/>
    </row>
    <row r="111" spans="1:15" x14ac:dyDescent="0.25">
      <c r="A111" s="16"/>
      <c r="B111" s="103">
        <v>430982623</v>
      </c>
      <c r="C111" s="7" t="s">
        <v>241</v>
      </c>
      <c r="D111" s="17">
        <v>1</v>
      </c>
      <c r="E111" s="16" t="s">
        <v>12</v>
      </c>
      <c r="F111" s="23" t="e">
        <f>'Manatee Avg'!#REF!</f>
        <v>#REF!</v>
      </c>
      <c r="G111" s="18" t="e">
        <f t="shared" si="4"/>
        <v>#REF!</v>
      </c>
      <c r="I111" s="29">
        <v>675</v>
      </c>
      <c r="J111" s="29"/>
      <c r="O111" s="221"/>
    </row>
    <row r="112" spans="1:15" x14ac:dyDescent="0.25">
      <c r="A112" s="16"/>
      <c r="B112" s="103">
        <v>430982638</v>
      </c>
      <c r="C112" s="7" t="s">
        <v>242</v>
      </c>
      <c r="D112" s="17">
        <v>1</v>
      </c>
      <c r="E112" s="16" t="s">
        <v>12</v>
      </c>
      <c r="F112" s="23" t="e">
        <f>'Manatee Avg'!#REF!</f>
        <v>#REF!</v>
      </c>
      <c r="G112" s="18" t="e">
        <f t="shared" si="4"/>
        <v>#REF!</v>
      </c>
      <c r="I112" s="29">
        <v>3940</v>
      </c>
      <c r="J112" s="29"/>
      <c r="O112" s="221"/>
    </row>
    <row r="113" spans="1:15" x14ac:dyDescent="0.25">
      <c r="A113" s="16"/>
      <c r="B113" s="103">
        <v>430982643</v>
      </c>
      <c r="C113" s="7" t="s">
        <v>190</v>
      </c>
      <c r="D113" s="17">
        <v>1</v>
      </c>
      <c r="E113" s="16" t="s">
        <v>12</v>
      </c>
      <c r="F113" s="23" t="e">
        <f>'Manatee Avg'!#REF!</f>
        <v>#REF!</v>
      </c>
      <c r="G113" s="18" t="e">
        <f t="shared" si="4"/>
        <v>#REF!</v>
      </c>
      <c r="I113" s="29">
        <v>7329.17</v>
      </c>
      <c r="J113" s="29"/>
      <c r="O113" s="218"/>
    </row>
    <row r="114" spans="1:15" x14ac:dyDescent="0.25">
      <c r="A114" s="16"/>
      <c r="B114" s="103" t="s">
        <v>220</v>
      </c>
      <c r="C114" s="7" t="s">
        <v>221</v>
      </c>
      <c r="D114" s="17">
        <v>0</v>
      </c>
      <c r="E114" s="16" t="s">
        <v>1</v>
      </c>
      <c r="F114" s="23" t="e">
        <f>'Manatee Avg'!#REF!</f>
        <v>#REF!</v>
      </c>
      <c r="G114" s="18" t="e">
        <f t="shared" si="4"/>
        <v>#REF!</v>
      </c>
      <c r="I114" s="29">
        <v>27.7</v>
      </c>
      <c r="J114" s="29"/>
      <c r="O114" s="110"/>
    </row>
    <row r="115" spans="1:15" x14ac:dyDescent="0.25">
      <c r="A115" s="16"/>
      <c r="B115" s="104" t="s">
        <v>272</v>
      </c>
      <c r="C115" s="7" t="s">
        <v>273</v>
      </c>
      <c r="D115" s="112">
        <v>4.5</v>
      </c>
      <c r="E115" s="16" t="s">
        <v>2</v>
      </c>
      <c r="F115" s="23" t="e">
        <f>'Manatee Avg'!#REF!</f>
        <v>#REF!</v>
      </c>
      <c r="G115" s="18" t="e">
        <f t="shared" si="4"/>
        <v>#REF!</v>
      </c>
      <c r="I115" s="29">
        <v>85.16</v>
      </c>
      <c r="J115" s="29">
        <v>111.69</v>
      </c>
      <c r="O115" s="110">
        <f>D115/5000</f>
        <v>8.9999999999999998E-4</v>
      </c>
    </row>
    <row r="116" spans="1:15" x14ac:dyDescent="0.25">
      <c r="A116" s="16"/>
      <c r="B116" s="21" t="s">
        <v>191</v>
      </c>
      <c r="C116" s="7" t="s">
        <v>192</v>
      </c>
      <c r="D116" s="27">
        <v>18.2</v>
      </c>
      <c r="E116" s="16" t="s">
        <v>3</v>
      </c>
      <c r="F116" s="23" t="e">
        <f>'Manatee Avg'!#REF!</f>
        <v>#REF!</v>
      </c>
      <c r="G116" s="18" t="e">
        <f t="shared" si="4"/>
        <v>#REF!</v>
      </c>
      <c r="I116" s="29">
        <v>111.78</v>
      </c>
      <c r="J116" s="29">
        <v>142.22</v>
      </c>
      <c r="O116" s="110">
        <f>D116/50</f>
        <v>0.36399999999999999</v>
      </c>
    </row>
    <row r="117" spans="1:15" x14ac:dyDescent="0.25">
      <c r="A117" s="16"/>
      <c r="B117" s="21" t="s">
        <v>193</v>
      </c>
      <c r="C117" s="7" t="s">
        <v>194</v>
      </c>
      <c r="D117" s="27">
        <v>2.2000000000000002</v>
      </c>
      <c r="E117" s="16" t="s">
        <v>3</v>
      </c>
      <c r="F117" s="23" t="e">
        <f>'Manatee Avg'!#REF!</f>
        <v>#REF!</v>
      </c>
      <c r="G117" s="18" t="e">
        <f t="shared" si="4"/>
        <v>#REF!</v>
      </c>
      <c r="I117" s="29">
        <v>120.16</v>
      </c>
      <c r="J117" s="29">
        <v>113.91</v>
      </c>
      <c r="L117" s="102"/>
      <c r="O117" s="110"/>
    </row>
    <row r="118" spans="1:15" x14ac:dyDescent="0.25">
      <c r="A118" s="35"/>
      <c r="B118" s="51"/>
      <c r="C118" s="81"/>
      <c r="D118" s="82"/>
      <c r="E118" s="83"/>
      <c r="F118" s="84"/>
      <c r="G118" s="85"/>
      <c r="I118" s="29"/>
      <c r="J118" s="29"/>
      <c r="O118" s="110"/>
    </row>
    <row r="119" spans="1:15" x14ac:dyDescent="0.25">
      <c r="A119" s="16"/>
      <c r="B119" s="22" t="s">
        <v>243</v>
      </c>
      <c r="C119" s="77" t="s">
        <v>244</v>
      </c>
      <c r="D119" s="17">
        <f>560+507</f>
        <v>1067</v>
      </c>
      <c r="E119" s="19" t="s">
        <v>1</v>
      </c>
      <c r="F119" s="76" t="e">
        <f>'Manatee Avg'!#REF!</f>
        <v>#REF!</v>
      </c>
      <c r="G119" s="18" t="e">
        <f t="shared" ref="G119:G120" si="5">F119*D119</f>
        <v>#REF!</v>
      </c>
      <c r="I119" s="29">
        <v>11.45</v>
      </c>
      <c r="J119" s="29">
        <v>10.88</v>
      </c>
      <c r="O119" s="110">
        <f>D119/500</f>
        <v>2.1339999999999999</v>
      </c>
    </row>
    <row r="120" spans="1:15" x14ac:dyDescent="0.25">
      <c r="A120" s="16"/>
      <c r="B120" s="21" t="s">
        <v>245</v>
      </c>
      <c r="C120" s="77" t="s">
        <v>125</v>
      </c>
      <c r="D120" s="17">
        <f>150+496</f>
        <v>646</v>
      </c>
      <c r="E120" s="16" t="s">
        <v>1</v>
      </c>
      <c r="F120" s="76" t="e">
        <f>'Manatee Avg'!#REF!</f>
        <v>#REF!</v>
      </c>
      <c r="G120" s="18" t="e">
        <f t="shared" si="5"/>
        <v>#REF!</v>
      </c>
      <c r="I120" s="29">
        <v>23.02</v>
      </c>
      <c r="J120" s="29">
        <v>25.73</v>
      </c>
      <c r="O120" s="110">
        <f>D120/400</f>
        <v>1.615</v>
      </c>
    </row>
    <row r="121" spans="1:15" x14ac:dyDescent="0.25">
      <c r="A121" s="16"/>
      <c r="B121" s="21" t="s">
        <v>246</v>
      </c>
      <c r="C121" s="77" t="s">
        <v>247</v>
      </c>
      <c r="D121" s="17">
        <f>17</f>
        <v>17</v>
      </c>
      <c r="E121" s="16" t="s">
        <v>12</v>
      </c>
      <c r="F121" s="76" t="e">
        <f>'Manatee Avg'!#REF!</f>
        <v>#REF!</v>
      </c>
      <c r="G121" s="18" t="e">
        <f>F121*D121</f>
        <v>#REF!</v>
      </c>
      <c r="I121" s="29">
        <v>813.99</v>
      </c>
      <c r="J121" s="29">
        <v>963.33</v>
      </c>
      <c r="O121" s="110">
        <f>D121/10</f>
        <v>1.7</v>
      </c>
    </row>
    <row r="122" spans="1:15" x14ac:dyDescent="0.25">
      <c r="A122" s="16"/>
      <c r="B122" s="22" t="s">
        <v>248</v>
      </c>
      <c r="C122" s="77" t="s">
        <v>249</v>
      </c>
      <c r="D122" s="17">
        <v>1</v>
      </c>
      <c r="E122" s="19" t="s">
        <v>96</v>
      </c>
      <c r="F122" s="76" t="e">
        <f>'Manatee Avg'!#REF!</f>
        <v>#REF!</v>
      </c>
      <c r="G122" s="18" t="e">
        <f t="shared" ref="G122:G128" si="6">F122*D122</f>
        <v>#REF!</v>
      </c>
      <c r="I122" s="29">
        <v>2979.54</v>
      </c>
      <c r="J122" s="29">
        <v>3445.71</v>
      </c>
      <c r="O122" s="110">
        <f>D122/2</f>
        <v>0.5</v>
      </c>
    </row>
    <row r="123" spans="1:15" x14ac:dyDescent="0.25">
      <c r="A123" s="16"/>
      <c r="B123" s="21" t="s">
        <v>250</v>
      </c>
      <c r="C123" s="77" t="s">
        <v>251</v>
      </c>
      <c r="D123" s="17">
        <f>5610+5535</f>
        <v>11145</v>
      </c>
      <c r="E123" s="16" t="s">
        <v>1</v>
      </c>
      <c r="F123" s="76" t="e">
        <f>'Manatee Avg'!#REF!</f>
        <v>#REF!</v>
      </c>
      <c r="G123" s="18" t="e">
        <f t="shared" si="6"/>
        <v>#REF!</v>
      </c>
      <c r="I123" s="29">
        <v>0.97</v>
      </c>
      <c r="J123" s="29">
        <v>1</v>
      </c>
      <c r="O123" s="110">
        <f>D123/500</f>
        <v>22.29</v>
      </c>
    </row>
    <row r="124" spans="1:15" x14ac:dyDescent="0.25">
      <c r="A124" s="16"/>
      <c r="B124" s="21" t="s">
        <v>252</v>
      </c>
      <c r="C124" s="77" t="s">
        <v>253</v>
      </c>
      <c r="D124" s="17">
        <v>0</v>
      </c>
      <c r="E124" s="16" t="s">
        <v>1</v>
      </c>
      <c r="F124" s="76" t="e">
        <f>'Manatee Avg'!#REF!</f>
        <v>#REF!</v>
      </c>
      <c r="G124" s="18" t="e">
        <f t="shared" si="6"/>
        <v>#REF!</v>
      </c>
      <c r="I124" s="29">
        <v>1.97</v>
      </c>
      <c r="J124" s="29">
        <v>1.82</v>
      </c>
      <c r="O124" s="110">
        <f>D124/500</f>
        <v>0</v>
      </c>
    </row>
    <row r="125" spans="1:15" ht="25.5" x14ac:dyDescent="0.25">
      <c r="A125" s="16"/>
      <c r="B125" s="21" t="s">
        <v>254</v>
      </c>
      <c r="C125" s="78" t="s">
        <v>255</v>
      </c>
      <c r="D125" s="17">
        <v>0</v>
      </c>
      <c r="E125" s="16" t="s">
        <v>12</v>
      </c>
      <c r="F125" s="76" t="e">
        <f>'Manatee Avg'!#REF!</f>
        <v>#REF!</v>
      </c>
      <c r="G125" s="18" t="e">
        <f t="shared" si="6"/>
        <v>#REF!</v>
      </c>
      <c r="I125" s="29">
        <v>4870.76</v>
      </c>
      <c r="J125" s="29">
        <v>4900.6000000000004</v>
      </c>
      <c r="O125" s="110">
        <f>D125/0.5</f>
        <v>0</v>
      </c>
    </row>
    <row r="126" spans="1:15" ht="25.5" x14ac:dyDescent="0.25">
      <c r="A126" s="16"/>
      <c r="B126" s="21" t="s">
        <v>296</v>
      </c>
      <c r="C126" s="78" t="s">
        <v>297</v>
      </c>
      <c r="D126" s="17">
        <v>5</v>
      </c>
      <c r="E126" s="16" t="s">
        <v>12</v>
      </c>
      <c r="F126" s="76" t="e">
        <f>'Manatee Avg'!#REF!</f>
        <v>#REF!</v>
      </c>
      <c r="G126" s="18" t="e">
        <f t="shared" si="6"/>
        <v>#REF!</v>
      </c>
      <c r="I126" s="29">
        <v>6568.61</v>
      </c>
      <c r="J126" s="29">
        <v>5889.66</v>
      </c>
      <c r="O126" s="110">
        <f t="shared" ref="O126:O127" si="7">D126/0.5</f>
        <v>10</v>
      </c>
    </row>
    <row r="127" spans="1:15" ht="25.5" x14ac:dyDescent="0.25">
      <c r="A127" s="16"/>
      <c r="B127" s="21" t="s">
        <v>256</v>
      </c>
      <c r="C127" s="78" t="s">
        <v>257</v>
      </c>
      <c r="D127" s="17">
        <v>8</v>
      </c>
      <c r="E127" s="16" t="s">
        <v>12</v>
      </c>
      <c r="F127" s="76" t="e">
        <f>'Manatee Avg'!#REF!</f>
        <v>#REF!</v>
      </c>
      <c r="G127" s="18" t="e">
        <f t="shared" si="6"/>
        <v>#REF!</v>
      </c>
      <c r="I127" s="29">
        <v>6826.33</v>
      </c>
      <c r="J127" s="29">
        <v>6610.96</v>
      </c>
      <c r="O127" s="110">
        <f t="shared" si="7"/>
        <v>16</v>
      </c>
    </row>
    <row r="128" spans="1:15" x14ac:dyDescent="0.25">
      <c r="A128" s="16"/>
      <c r="B128" s="21" t="s">
        <v>258</v>
      </c>
      <c r="C128" s="77" t="s">
        <v>259</v>
      </c>
      <c r="D128" s="17">
        <v>0</v>
      </c>
      <c r="E128" s="16" t="s">
        <v>12</v>
      </c>
      <c r="F128" s="76" t="e">
        <f>'Manatee Avg'!#REF!</f>
        <v>#REF!</v>
      </c>
      <c r="G128" s="18" t="e">
        <f t="shared" si="6"/>
        <v>#REF!</v>
      </c>
      <c r="I128" s="29">
        <v>15275.71</v>
      </c>
      <c r="J128" s="29">
        <v>15309.09</v>
      </c>
      <c r="O128" s="110"/>
    </row>
    <row r="129" spans="1:15" x14ac:dyDescent="0.25">
      <c r="A129" s="16"/>
      <c r="B129" s="21" t="s">
        <v>260</v>
      </c>
      <c r="C129" s="77" t="s">
        <v>295</v>
      </c>
      <c r="D129" s="17">
        <v>13</v>
      </c>
      <c r="E129" s="16" t="s">
        <v>12</v>
      </c>
      <c r="F129" s="76" t="e">
        <f>'Manatee Avg'!#REF!</f>
        <v>#REF!</v>
      </c>
      <c r="G129" s="18" t="e">
        <f>F129*D129</f>
        <v>#REF!</v>
      </c>
      <c r="I129" s="29">
        <v>672.22</v>
      </c>
      <c r="J129" s="29">
        <v>547.25</v>
      </c>
      <c r="O129" s="110"/>
    </row>
    <row r="130" spans="1:15" x14ac:dyDescent="0.25">
      <c r="A130" s="16"/>
      <c r="B130" s="21"/>
      <c r="C130" s="7"/>
      <c r="D130" s="17"/>
      <c r="E130" s="16"/>
      <c r="F130" s="26"/>
      <c r="G130" s="18"/>
      <c r="I130" s="29"/>
      <c r="J130" s="29"/>
      <c r="O130" s="110"/>
    </row>
    <row r="131" spans="1:15" ht="15.75" thickBot="1" x14ac:dyDescent="0.3">
      <c r="F131" s="8" t="s">
        <v>7</v>
      </c>
      <c r="G131" s="9" t="e">
        <f>SUM(G8:G129)</f>
        <v>#REF!</v>
      </c>
      <c r="O131" s="110"/>
    </row>
    <row r="132" spans="1:15" x14ac:dyDescent="0.25">
      <c r="F132" s="8" t="s">
        <v>263</v>
      </c>
      <c r="G132" s="88" t="e">
        <f>0.1*G131</f>
        <v>#REF!</v>
      </c>
      <c r="N132" t="s">
        <v>307</v>
      </c>
      <c r="O132" s="111">
        <f>SUM(O7:O130)</f>
        <v>234.79328905677653</v>
      </c>
    </row>
    <row r="133" spans="1:15" x14ac:dyDescent="0.25">
      <c r="F133" s="8" t="s">
        <v>119</v>
      </c>
      <c r="G133" s="88" t="e">
        <f>G131+G132</f>
        <v>#REF!</v>
      </c>
      <c r="N133" t="s">
        <v>308</v>
      </c>
      <c r="O133" s="111" t="e">
        <f>'ITS AND SIGNALS'!#REF!</f>
        <v>#REF!</v>
      </c>
    </row>
    <row r="134" spans="1:15" x14ac:dyDescent="0.25">
      <c r="C134" s="204" t="s">
        <v>121</v>
      </c>
      <c r="D134" s="204"/>
      <c r="E134" s="204"/>
      <c r="F134" s="204"/>
      <c r="G134" s="1">
        <v>5935027</v>
      </c>
      <c r="M134" s="2"/>
      <c r="N134" s="2" t="s">
        <v>309</v>
      </c>
      <c r="O134" s="111" t="e">
        <f>SUM(O132:O133)</f>
        <v>#REF!</v>
      </c>
    </row>
    <row r="135" spans="1:15" x14ac:dyDescent="0.25">
      <c r="M135" s="2"/>
      <c r="N135" s="2"/>
    </row>
    <row r="136" spans="1:15" s="2" customFormat="1" x14ac:dyDescent="0.25">
      <c r="A136" s="3"/>
      <c r="B136" s="4"/>
      <c r="C136" s="5"/>
      <c r="E136" s="3"/>
      <c r="F136" s="1"/>
      <c r="G136" s="1"/>
      <c r="H136"/>
      <c r="I136"/>
      <c r="J136"/>
      <c r="K136"/>
      <c r="L136" s="97"/>
      <c r="O136" s="109"/>
    </row>
    <row r="137" spans="1:15" s="2" customFormat="1" x14ac:dyDescent="0.25">
      <c r="A137" s="3"/>
      <c r="B137" s="4"/>
      <c r="C137" s="6"/>
      <c r="E137" s="3"/>
      <c r="F137" s="1"/>
      <c r="G137" s="1"/>
      <c r="H137"/>
      <c r="I137"/>
      <c r="J137"/>
      <c r="K137"/>
      <c r="L137" s="97"/>
      <c r="M137"/>
      <c r="N137"/>
      <c r="O137" s="109"/>
    </row>
    <row r="138" spans="1:15" s="2" customFormat="1" x14ac:dyDescent="0.25">
      <c r="A138" s="3"/>
      <c r="B138" s="4"/>
      <c r="C138" s="6"/>
      <c r="E138" s="3"/>
      <c r="F138" s="1"/>
      <c r="G138" s="1"/>
      <c r="H138"/>
      <c r="I138"/>
      <c r="J138"/>
      <c r="K138"/>
      <c r="L138" s="97"/>
      <c r="M138"/>
      <c r="N138"/>
      <c r="O138" s="109"/>
    </row>
    <row r="139" spans="1:15" s="2" customFormat="1" x14ac:dyDescent="0.25">
      <c r="A139" s="3"/>
      <c r="B139" s="4"/>
      <c r="C139" s="6"/>
      <c r="E139" s="3"/>
      <c r="F139" s="1"/>
      <c r="G139" s="1"/>
      <c r="H139"/>
      <c r="I139"/>
      <c r="J139"/>
      <c r="K139"/>
      <c r="L139" s="97"/>
      <c r="M139"/>
      <c r="N139"/>
      <c r="O139" s="109"/>
    </row>
    <row r="140" spans="1:15" x14ac:dyDescent="0.25">
      <c r="B140" s="4"/>
      <c r="C140" s="6"/>
    </row>
    <row r="141" spans="1:15" x14ac:dyDescent="0.25">
      <c r="B141" s="4"/>
      <c r="C141" s="6"/>
    </row>
  </sheetData>
  <mergeCells count="16">
    <mergeCell ref="O94:O103"/>
    <mergeCell ref="O104:O106"/>
    <mergeCell ref="O108:O113"/>
    <mergeCell ref="C134:F134"/>
    <mergeCell ref="O18:O19"/>
    <mergeCell ref="O20:O23"/>
    <mergeCell ref="O29:O31"/>
    <mergeCell ref="O62:O64"/>
    <mergeCell ref="O77:O90"/>
    <mergeCell ref="O91:O92"/>
    <mergeCell ref="O16:O17"/>
    <mergeCell ref="B1:G1"/>
    <mergeCell ref="B2:G2"/>
    <mergeCell ref="B3:G3"/>
    <mergeCell ref="B4:G4"/>
    <mergeCell ref="B5:G5"/>
  </mergeCells>
  <pageMargins left="0.25" right="0.25" top="0.75" bottom="0.75" header="0.3" footer="0.3"/>
  <pageSetup scale="59" fitToHeight="0" orientation="portrait" r:id="rId1"/>
  <rowBreaks count="1" manualBreakCount="1">
    <brk id="7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C77EC-0EBB-4DAC-97F2-F58FD1D0A9B7}">
  <sheetPr>
    <pageSetUpPr fitToPage="1"/>
  </sheetPr>
  <dimension ref="A1:H180"/>
  <sheetViews>
    <sheetView view="pageBreakPreview" topLeftCell="B41" zoomScale="90" zoomScaleNormal="80" zoomScaleSheetLayoutView="90" workbookViewId="0">
      <selection activeCell="J6" sqref="J6"/>
    </sheetView>
  </sheetViews>
  <sheetFormatPr defaultRowHeight="15" x14ac:dyDescent="0.25"/>
  <cols>
    <col min="1" max="1" width="6.28515625" style="3" bestFit="1" customWidth="1"/>
    <col min="2" max="2" width="17.5703125" customWidth="1"/>
    <col min="3" max="3" width="95.85546875" customWidth="1"/>
    <col min="4" max="4" width="9.85546875" style="2" hidden="1" customWidth="1"/>
    <col min="5" max="5" width="6.42578125" style="3" hidden="1" customWidth="1"/>
    <col min="6" max="6" width="18.42578125" style="1" hidden="1" customWidth="1"/>
    <col min="7" max="7" width="17.7109375" style="1" hidden="1" customWidth="1"/>
    <col min="8" max="8" width="7" customWidth="1"/>
  </cols>
  <sheetData>
    <row r="1" spans="1:7" ht="18.75" x14ac:dyDescent="0.3">
      <c r="B1" s="219" t="s">
        <v>11</v>
      </c>
      <c r="C1" s="219"/>
      <c r="D1" s="219"/>
      <c r="E1" s="219"/>
      <c r="F1" s="219"/>
      <c r="G1" s="219"/>
    </row>
    <row r="2" spans="1:7" ht="18.75" x14ac:dyDescent="0.3">
      <c r="B2" s="219" t="s">
        <v>13</v>
      </c>
      <c r="C2" s="220"/>
      <c r="D2" s="220"/>
      <c r="E2" s="220"/>
      <c r="F2" s="220"/>
      <c r="G2" s="220"/>
    </row>
    <row r="3" spans="1:7" ht="18.75" x14ac:dyDescent="0.3">
      <c r="B3" s="219" t="s">
        <v>345</v>
      </c>
      <c r="C3" s="219"/>
      <c r="D3" s="219"/>
      <c r="E3" s="219"/>
      <c r="F3" s="219"/>
      <c r="G3" s="219"/>
    </row>
    <row r="4" spans="1:7" ht="18.75" x14ac:dyDescent="0.3">
      <c r="B4" s="219"/>
      <c r="C4" s="219"/>
      <c r="D4" s="219"/>
      <c r="E4" s="219"/>
      <c r="F4" s="219"/>
      <c r="G4" s="219"/>
    </row>
    <row r="5" spans="1:7" ht="19.5" thickBot="1" x14ac:dyDescent="0.35">
      <c r="B5" s="219"/>
      <c r="C5" s="219"/>
      <c r="D5" s="219"/>
      <c r="E5" s="219"/>
      <c r="F5" s="219"/>
      <c r="G5" s="219"/>
    </row>
    <row r="6" spans="1:7" x14ac:dyDescent="0.25">
      <c r="A6" s="10" t="s">
        <v>10</v>
      </c>
      <c r="B6" s="24" t="s">
        <v>8</v>
      </c>
      <c r="C6" s="24" t="s">
        <v>9</v>
      </c>
      <c r="D6" s="10" t="s">
        <v>4</v>
      </c>
      <c r="E6" s="10" t="s">
        <v>0</v>
      </c>
      <c r="F6" s="25" t="s">
        <v>6</v>
      </c>
      <c r="G6" s="25" t="s">
        <v>7</v>
      </c>
    </row>
    <row r="7" spans="1:7" x14ac:dyDescent="0.25">
      <c r="A7" s="16"/>
      <c r="B7" s="21" t="s">
        <v>18</v>
      </c>
      <c r="C7" s="7" t="s">
        <v>19</v>
      </c>
      <c r="D7" s="44">
        <v>1</v>
      </c>
      <c r="E7" s="16" t="s">
        <v>66</v>
      </c>
      <c r="F7" s="23" t="e">
        <f>#REF!</f>
        <v>#REF!</v>
      </c>
      <c r="G7" s="18" t="e">
        <f>F7*D7</f>
        <v>#REF!</v>
      </c>
    </row>
    <row r="8" spans="1:7" x14ac:dyDescent="0.25">
      <c r="A8" s="16"/>
      <c r="B8" s="21" t="s">
        <v>20</v>
      </c>
      <c r="C8" s="7" t="s">
        <v>21</v>
      </c>
      <c r="D8" s="50"/>
      <c r="E8" s="16" t="s">
        <v>22</v>
      </c>
      <c r="F8" s="23" t="e">
        <f>#REF!</f>
        <v>#REF!</v>
      </c>
      <c r="G8" s="18" t="e">
        <f>F8*D8</f>
        <v>#REF!</v>
      </c>
    </row>
    <row r="9" spans="1:7" x14ac:dyDescent="0.25">
      <c r="A9" s="16"/>
      <c r="B9" s="21" t="s">
        <v>23</v>
      </c>
      <c r="C9" s="7" t="s">
        <v>24</v>
      </c>
      <c r="D9" s="45"/>
      <c r="E9" s="16" t="s">
        <v>2</v>
      </c>
      <c r="F9" s="23" t="e">
        <f>#REF!</f>
        <v>#REF!</v>
      </c>
      <c r="G9" s="18" t="e">
        <f t="shared" ref="G9" si="0">F9*D9</f>
        <v>#REF!</v>
      </c>
    </row>
    <row r="10" spans="1:7" x14ac:dyDescent="0.25">
      <c r="A10" s="16"/>
      <c r="B10" s="21" t="s">
        <v>313</v>
      </c>
      <c r="C10" s="7" t="s">
        <v>315</v>
      </c>
      <c r="D10" s="45"/>
      <c r="E10" s="16" t="s">
        <v>12</v>
      </c>
      <c r="F10" s="23" t="e">
        <f>#REF!</f>
        <v>#REF!</v>
      </c>
      <c r="G10" s="18"/>
    </row>
    <row r="11" spans="1:7" x14ac:dyDescent="0.25">
      <c r="A11" s="16"/>
      <c r="B11" s="21" t="s">
        <v>25</v>
      </c>
      <c r="C11" s="7" t="s">
        <v>26</v>
      </c>
      <c r="D11" s="44"/>
      <c r="E11" s="16" t="s">
        <v>14</v>
      </c>
      <c r="F11" s="23" t="e">
        <f>#REF!</f>
        <v>#REF!</v>
      </c>
      <c r="G11" s="18" t="e">
        <f t="shared" ref="G11:G72" si="1">F11*D11</f>
        <v>#REF!</v>
      </c>
    </row>
    <row r="12" spans="1:7" x14ac:dyDescent="0.25">
      <c r="A12" s="16"/>
      <c r="B12" s="21" t="s">
        <v>27</v>
      </c>
      <c r="C12" s="7" t="s">
        <v>28</v>
      </c>
      <c r="D12" s="44"/>
      <c r="E12" s="16" t="s">
        <v>14</v>
      </c>
      <c r="F12" s="23" t="e">
        <f>#REF!</f>
        <v>#REF!</v>
      </c>
      <c r="G12" s="18" t="e">
        <f t="shared" si="1"/>
        <v>#REF!</v>
      </c>
    </row>
    <row r="13" spans="1:7" x14ac:dyDescent="0.25">
      <c r="A13" s="16"/>
      <c r="B13" s="21" t="s">
        <v>29</v>
      </c>
      <c r="C13" s="7" t="s">
        <v>30</v>
      </c>
      <c r="D13" s="44"/>
      <c r="E13" s="16" t="s">
        <v>14</v>
      </c>
      <c r="F13" s="23" t="e">
        <f>#REF!</f>
        <v>#REF!</v>
      </c>
      <c r="G13" s="18" t="e">
        <f t="shared" si="1"/>
        <v>#REF!</v>
      </c>
    </row>
    <row r="14" spans="1:7" x14ac:dyDescent="0.25">
      <c r="A14" s="16"/>
      <c r="B14" s="21" t="s">
        <v>31</v>
      </c>
      <c r="C14" s="7" t="s">
        <v>32</v>
      </c>
      <c r="D14" s="45"/>
      <c r="E14" s="16" t="s">
        <v>2</v>
      </c>
      <c r="F14" s="23" t="e">
        <f>#REF!</f>
        <v>#REF!</v>
      </c>
      <c r="G14" s="18" t="e">
        <f t="shared" si="1"/>
        <v>#REF!</v>
      </c>
    </row>
    <row r="15" spans="1:7" x14ac:dyDescent="0.25">
      <c r="A15" s="16"/>
      <c r="B15" s="22">
        <v>285709</v>
      </c>
      <c r="C15" s="20" t="s">
        <v>33</v>
      </c>
      <c r="D15" s="45"/>
      <c r="E15" s="19" t="s">
        <v>2</v>
      </c>
      <c r="F15" s="23" t="e">
        <f>#REF!</f>
        <v>#REF!</v>
      </c>
      <c r="G15" s="18" t="e">
        <f t="shared" si="1"/>
        <v>#REF!</v>
      </c>
    </row>
    <row r="16" spans="1:7" x14ac:dyDescent="0.25">
      <c r="A16" s="16"/>
      <c r="B16" s="21">
        <v>285701</v>
      </c>
      <c r="C16" s="7" t="s">
        <v>34</v>
      </c>
      <c r="D16" s="45"/>
      <c r="E16" s="16" t="s">
        <v>2</v>
      </c>
      <c r="F16" s="23" t="e">
        <f>#REF!</f>
        <v>#REF!</v>
      </c>
      <c r="G16" s="18" t="e">
        <f t="shared" si="1"/>
        <v>#REF!</v>
      </c>
    </row>
    <row r="17" spans="1:7" x14ac:dyDescent="0.25">
      <c r="A17" s="16"/>
      <c r="B17" s="22" t="s">
        <v>110</v>
      </c>
      <c r="C17" s="20" t="s">
        <v>111</v>
      </c>
      <c r="D17" s="49"/>
      <c r="E17" s="19" t="s">
        <v>2</v>
      </c>
      <c r="F17" s="23" t="e">
        <f>#REF!</f>
        <v>#REF!</v>
      </c>
      <c r="G17" s="18" t="e">
        <f t="shared" si="1"/>
        <v>#REF!</v>
      </c>
    </row>
    <row r="18" spans="1:7" x14ac:dyDescent="0.25">
      <c r="A18" s="16"/>
      <c r="B18" s="22" t="s">
        <v>302</v>
      </c>
      <c r="C18" s="20" t="s">
        <v>303</v>
      </c>
      <c r="D18" s="49"/>
      <c r="E18" s="19" t="s">
        <v>2</v>
      </c>
      <c r="F18" s="23" t="e">
        <f>#REF!</f>
        <v>#REF!</v>
      </c>
      <c r="G18" s="18" t="e">
        <f t="shared" si="1"/>
        <v>#REF!</v>
      </c>
    </row>
    <row r="19" spans="1:7" x14ac:dyDescent="0.25">
      <c r="A19" s="16"/>
      <c r="B19" s="21" t="s">
        <v>35</v>
      </c>
      <c r="C19" s="7" t="s">
        <v>279</v>
      </c>
      <c r="D19" s="44"/>
      <c r="E19" s="48" t="s">
        <v>3</v>
      </c>
      <c r="F19" s="23" t="e">
        <f>#REF!</f>
        <v>#REF!</v>
      </c>
      <c r="G19" s="18" t="e">
        <f t="shared" si="1"/>
        <v>#REF!</v>
      </c>
    </row>
    <row r="20" spans="1:7" x14ac:dyDescent="0.25">
      <c r="A20" s="16"/>
      <c r="B20" s="21" t="s">
        <v>35</v>
      </c>
      <c r="C20" s="7" t="s">
        <v>280</v>
      </c>
      <c r="D20" s="44"/>
      <c r="E20" s="48" t="s">
        <v>3</v>
      </c>
      <c r="F20" s="23" t="e">
        <f>#REF!</f>
        <v>#REF!</v>
      </c>
      <c r="G20" s="18" t="e">
        <f t="shared" si="1"/>
        <v>#REF!</v>
      </c>
    </row>
    <row r="21" spans="1:7" x14ac:dyDescent="0.25">
      <c r="A21" s="16"/>
      <c r="B21" s="21" t="s">
        <v>35</v>
      </c>
      <c r="C21" s="7" t="s">
        <v>281</v>
      </c>
      <c r="D21" s="44"/>
      <c r="E21" s="48" t="s">
        <v>3</v>
      </c>
      <c r="F21" s="23" t="e">
        <f>#REF!</f>
        <v>#REF!</v>
      </c>
      <c r="G21" s="18" t="e">
        <f t="shared" si="1"/>
        <v>#REF!</v>
      </c>
    </row>
    <row r="22" spans="1:7" x14ac:dyDescent="0.25">
      <c r="A22" s="16"/>
      <c r="B22" s="21" t="s">
        <v>35</v>
      </c>
      <c r="C22" s="7" t="s">
        <v>282</v>
      </c>
      <c r="D22" s="44"/>
      <c r="E22" s="48" t="s">
        <v>3</v>
      </c>
      <c r="F22" s="23" t="e">
        <f>#REF!</f>
        <v>#REF!</v>
      </c>
      <c r="G22" s="18" t="e">
        <f t="shared" si="1"/>
        <v>#REF!</v>
      </c>
    </row>
    <row r="23" spans="1:7" x14ac:dyDescent="0.25">
      <c r="A23" s="16"/>
      <c r="B23" s="21" t="s">
        <v>36</v>
      </c>
      <c r="C23" s="7" t="s">
        <v>37</v>
      </c>
      <c r="D23" s="44"/>
      <c r="E23" s="16" t="s">
        <v>14</v>
      </c>
      <c r="F23" s="23" t="e">
        <f>#REF!</f>
        <v>#REF!</v>
      </c>
      <c r="G23" s="18" t="e">
        <f t="shared" si="1"/>
        <v>#REF!</v>
      </c>
    </row>
    <row r="24" spans="1:7" x14ac:dyDescent="0.25">
      <c r="A24" s="16"/>
      <c r="B24" s="21" t="s">
        <v>38</v>
      </c>
      <c r="C24" s="7" t="s">
        <v>39</v>
      </c>
      <c r="D24" s="44"/>
      <c r="E24" s="16" t="s">
        <v>14</v>
      </c>
      <c r="F24" s="23" t="e">
        <f>#REF!</f>
        <v>#REF!</v>
      </c>
      <c r="G24" s="18" t="e">
        <f t="shared" si="1"/>
        <v>#REF!</v>
      </c>
    </row>
    <row r="25" spans="1:7" x14ac:dyDescent="0.25">
      <c r="A25" s="16"/>
      <c r="B25" s="21" t="s">
        <v>40</v>
      </c>
      <c r="C25" s="7" t="s">
        <v>41</v>
      </c>
      <c r="D25" s="46"/>
      <c r="E25" s="16" t="s">
        <v>42</v>
      </c>
      <c r="F25" s="23" t="e">
        <f>#REF!</f>
        <v>#REF!</v>
      </c>
      <c r="G25" s="18" t="e">
        <f t="shared" si="1"/>
        <v>#REF!</v>
      </c>
    </row>
    <row r="26" spans="1:7" x14ac:dyDescent="0.25">
      <c r="A26" s="16"/>
      <c r="B26" s="21" t="s">
        <v>43</v>
      </c>
      <c r="C26" s="7" t="s">
        <v>44</v>
      </c>
      <c r="D26" s="46"/>
      <c r="E26" s="16" t="s">
        <v>45</v>
      </c>
      <c r="F26" s="23" t="e">
        <f>#REF!</f>
        <v>#REF!</v>
      </c>
      <c r="G26" s="18" t="e">
        <f t="shared" si="1"/>
        <v>#REF!</v>
      </c>
    </row>
    <row r="27" spans="1:7" x14ac:dyDescent="0.25">
      <c r="A27" s="16"/>
      <c r="B27" s="21" t="s">
        <v>46</v>
      </c>
      <c r="C27" s="7" t="s">
        <v>47</v>
      </c>
      <c r="D27" s="17"/>
      <c r="E27" s="16" t="s">
        <v>1</v>
      </c>
      <c r="F27" s="23" t="e">
        <f>#REF!</f>
        <v>#REF!</v>
      </c>
      <c r="G27" s="18" t="e">
        <f t="shared" si="1"/>
        <v>#REF!</v>
      </c>
    </row>
    <row r="28" spans="1:7" x14ac:dyDescent="0.25">
      <c r="A28" s="16"/>
      <c r="B28" s="21" t="s">
        <v>48</v>
      </c>
      <c r="C28" s="7" t="s">
        <v>49</v>
      </c>
      <c r="D28" s="17"/>
      <c r="E28" s="16" t="s">
        <v>1</v>
      </c>
      <c r="F28" s="23" t="e">
        <f>#REF!</f>
        <v>#REF!</v>
      </c>
      <c r="G28" s="18" t="e">
        <f t="shared" si="1"/>
        <v>#REF!</v>
      </c>
    </row>
    <row r="29" spans="1:7" x14ac:dyDescent="0.25">
      <c r="A29" s="16"/>
      <c r="B29" s="21" t="s">
        <v>50</v>
      </c>
      <c r="C29" s="7" t="s">
        <v>51</v>
      </c>
      <c r="D29" s="17"/>
      <c r="E29" s="16" t="s">
        <v>1</v>
      </c>
      <c r="F29" s="23" t="e">
        <f>#REF!</f>
        <v>#REF!</v>
      </c>
      <c r="G29" s="18" t="e">
        <f t="shared" si="1"/>
        <v>#REF!</v>
      </c>
    </row>
    <row r="30" spans="1:7" x14ac:dyDescent="0.25">
      <c r="A30" s="16"/>
      <c r="B30" s="21" t="s">
        <v>52</v>
      </c>
      <c r="C30" s="7" t="s">
        <v>53</v>
      </c>
      <c r="D30" s="17"/>
      <c r="E30" s="16" t="s">
        <v>1</v>
      </c>
      <c r="F30" s="23" t="e">
        <f>#REF!</f>
        <v>#REF!</v>
      </c>
      <c r="G30" s="18" t="e">
        <f t="shared" si="1"/>
        <v>#REF!</v>
      </c>
    </row>
    <row r="31" spans="1:7" x14ac:dyDescent="0.25">
      <c r="A31" s="16"/>
      <c r="B31" s="21" t="s">
        <v>54</v>
      </c>
      <c r="C31" s="7" t="s">
        <v>55</v>
      </c>
      <c r="D31" s="17"/>
      <c r="E31" s="16" t="s">
        <v>1</v>
      </c>
      <c r="F31" s="23" t="e">
        <f>#REF!</f>
        <v>#REF!</v>
      </c>
      <c r="G31" s="18" t="e">
        <f t="shared" si="1"/>
        <v>#REF!</v>
      </c>
    </row>
    <row r="32" spans="1:7" x14ac:dyDescent="0.25">
      <c r="A32" s="16"/>
      <c r="B32" s="21" t="s">
        <v>56</v>
      </c>
      <c r="C32" s="7" t="s">
        <v>57</v>
      </c>
      <c r="D32" s="17"/>
      <c r="E32" s="16" t="s">
        <v>2</v>
      </c>
      <c r="F32" s="23" t="e">
        <f>#REF!</f>
        <v>#REF!</v>
      </c>
      <c r="G32" s="18" t="e">
        <f t="shared" si="1"/>
        <v>#REF!</v>
      </c>
    </row>
    <row r="33" spans="1:8" x14ac:dyDescent="0.25">
      <c r="A33" s="16"/>
      <c r="B33" s="21" t="s">
        <v>58</v>
      </c>
      <c r="C33" s="7" t="s">
        <v>59</v>
      </c>
      <c r="D33" s="17"/>
      <c r="E33" s="16" t="s">
        <v>2</v>
      </c>
      <c r="F33" s="23" t="e">
        <f>#REF!</f>
        <v>#REF!</v>
      </c>
      <c r="G33" s="18" t="e">
        <f t="shared" si="1"/>
        <v>#REF!</v>
      </c>
    </row>
    <row r="34" spans="1:8" x14ac:dyDescent="0.25">
      <c r="A34" s="16"/>
      <c r="B34" s="21" t="s">
        <v>60</v>
      </c>
      <c r="C34" s="7" t="s">
        <v>61</v>
      </c>
      <c r="D34" s="17"/>
      <c r="E34" s="16" t="s">
        <v>45</v>
      </c>
      <c r="F34" s="23" t="e">
        <f>#REF!</f>
        <v>#REF!</v>
      </c>
      <c r="G34" s="18" t="e">
        <f t="shared" si="1"/>
        <v>#REF!</v>
      </c>
    </row>
    <row r="35" spans="1:8" x14ac:dyDescent="0.25">
      <c r="A35" s="16"/>
      <c r="B35" s="21" t="s">
        <v>316</v>
      </c>
      <c r="C35" s="7" t="s">
        <v>319</v>
      </c>
      <c r="D35" s="17"/>
      <c r="E35" s="16" t="s">
        <v>1</v>
      </c>
      <c r="F35" s="23" t="e">
        <f>#REF!</f>
        <v>#REF!</v>
      </c>
      <c r="G35" s="18" t="e">
        <f t="shared" si="1"/>
        <v>#REF!</v>
      </c>
    </row>
    <row r="36" spans="1:8" x14ac:dyDescent="0.25">
      <c r="A36" s="16"/>
      <c r="B36" s="21" t="s">
        <v>317</v>
      </c>
      <c r="C36" s="7" t="s">
        <v>320</v>
      </c>
      <c r="D36" s="17"/>
      <c r="E36" s="16" t="s">
        <v>12</v>
      </c>
      <c r="F36" s="23" t="e">
        <f>#REF!</f>
        <v>#REF!</v>
      </c>
      <c r="G36" s="18" t="e">
        <f t="shared" si="1"/>
        <v>#REF!</v>
      </c>
    </row>
    <row r="37" spans="1:8" x14ac:dyDescent="0.25">
      <c r="A37" s="16"/>
      <c r="B37" s="21" t="s">
        <v>318</v>
      </c>
      <c r="C37" s="7" t="s">
        <v>321</v>
      </c>
      <c r="D37" s="17"/>
      <c r="E37" s="16" t="s">
        <v>12</v>
      </c>
      <c r="F37" s="23" t="e">
        <f>#REF!</f>
        <v>#REF!</v>
      </c>
      <c r="G37" s="18" t="e">
        <f t="shared" si="1"/>
        <v>#REF!</v>
      </c>
    </row>
    <row r="38" spans="1:8" x14ac:dyDescent="0.25">
      <c r="A38" s="16"/>
      <c r="B38" s="21" t="s">
        <v>298</v>
      </c>
      <c r="C38" s="105" t="s">
        <v>301</v>
      </c>
      <c r="D38" s="21"/>
      <c r="E38" s="21" t="s">
        <v>1</v>
      </c>
      <c r="F38" s="23" t="e">
        <f>#REF!</f>
        <v>#REF!</v>
      </c>
      <c r="G38" s="18" t="e">
        <f t="shared" si="1"/>
        <v>#REF!</v>
      </c>
    </row>
    <row r="39" spans="1:8" x14ac:dyDescent="0.25">
      <c r="A39" s="16"/>
      <c r="B39" s="21" t="s">
        <v>299</v>
      </c>
      <c r="C39" s="105" t="s">
        <v>300</v>
      </c>
      <c r="D39" s="21"/>
      <c r="E39" s="21" t="s">
        <v>12</v>
      </c>
      <c r="F39" s="23" t="e">
        <f>#REF!</f>
        <v>#REF!</v>
      </c>
      <c r="G39" s="18" t="e">
        <f t="shared" si="1"/>
        <v>#REF!</v>
      </c>
    </row>
    <row r="40" spans="1:8" x14ac:dyDescent="0.25">
      <c r="A40" s="16"/>
      <c r="B40" s="21" t="s">
        <v>62</v>
      </c>
      <c r="C40" s="7" t="s">
        <v>63</v>
      </c>
      <c r="D40" s="17"/>
      <c r="E40" s="16" t="s">
        <v>2</v>
      </c>
      <c r="F40" s="23" t="e">
        <f>#REF!</f>
        <v>#REF!</v>
      </c>
      <c r="G40" s="18" t="e">
        <f t="shared" si="1"/>
        <v>#REF!</v>
      </c>
    </row>
    <row r="41" spans="1:8" x14ac:dyDescent="0.25">
      <c r="A41" s="16"/>
      <c r="B41" s="21" t="s">
        <v>64</v>
      </c>
      <c r="C41" s="7" t="s">
        <v>65</v>
      </c>
      <c r="D41" s="17">
        <v>1</v>
      </c>
      <c r="E41" s="16" t="s">
        <v>66</v>
      </c>
      <c r="F41" s="23" t="e">
        <f>#REF!</f>
        <v>#REF!</v>
      </c>
      <c r="G41" s="18" t="e">
        <f t="shared" si="1"/>
        <v>#REF!</v>
      </c>
    </row>
    <row r="42" spans="1:8" x14ac:dyDescent="0.25">
      <c r="A42" s="16"/>
      <c r="B42" s="32"/>
      <c r="C42" s="113"/>
      <c r="D42" s="114"/>
      <c r="E42" s="115"/>
      <c r="F42" s="116"/>
      <c r="G42" s="117"/>
      <c r="H42" s="64"/>
    </row>
    <row r="43" spans="1:8" x14ac:dyDescent="0.25">
      <c r="A43" s="16"/>
      <c r="B43" s="21" t="s">
        <v>67</v>
      </c>
      <c r="C43" s="7" t="s">
        <v>68</v>
      </c>
      <c r="D43" s="41">
        <v>2.9569999999999999</v>
      </c>
      <c r="E43" s="16" t="s">
        <v>69</v>
      </c>
      <c r="F43" s="26" t="e">
        <f>#REF!</f>
        <v>#REF!</v>
      </c>
      <c r="G43" s="18" t="e">
        <f t="shared" si="1"/>
        <v>#REF!</v>
      </c>
    </row>
    <row r="44" spans="1:8" x14ac:dyDescent="0.25">
      <c r="A44" s="16"/>
      <c r="B44" s="21" t="s">
        <v>70</v>
      </c>
      <c r="C44" s="7" t="s">
        <v>71</v>
      </c>
      <c r="D44" s="17">
        <v>1156</v>
      </c>
      <c r="E44" s="16" t="s">
        <v>1</v>
      </c>
      <c r="F44" s="26" t="e">
        <f>#REF!</f>
        <v>#REF!</v>
      </c>
      <c r="G44" s="18" t="e">
        <f t="shared" si="1"/>
        <v>#REF!</v>
      </c>
    </row>
    <row r="45" spans="1:8" x14ac:dyDescent="0.25">
      <c r="A45" s="16"/>
      <c r="B45" s="21" t="s">
        <v>72</v>
      </c>
      <c r="C45" s="7" t="s">
        <v>73</v>
      </c>
      <c r="D45" s="17">
        <v>471</v>
      </c>
      <c r="E45" s="16" t="s">
        <v>1</v>
      </c>
      <c r="F45" s="26" t="e">
        <f>#REF!</f>
        <v>#REF!</v>
      </c>
      <c r="G45" s="18" t="e">
        <f t="shared" si="1"/>
        <v>#REF!</v>
      </c>
    </row>
    <row r="46" spans="1:8" x14ac:dyDescent="0.25">
      <c r="A46" s="16"/>
      <c r="B46" s="21" t="s">
        <v>74</v>
      </c>
      <c r="C46" s="7" t="s">
        <v>75</v>
      </c>
      <c r="D46" s="17">
        <v>824</v>
      </c>
      <c r="E46" s="16" t="s">
        <v>1</v>
      </c>
      <c r="F46" s="26" t="e">
        <f>#REF!</f>
        <v>#REF!</v>
      </c>
      <c r="G46" s="18" t="e">
        <f t="shared" si="1"/>
        <v>#REF!</v>
      </c>
    </row>
    <row r="47" spans="1:8" x14ac:dyDescent="0.25">
      <c r="A47" s="16"/>
      <c r="B47" s="21" t="s">
        <v>76</v>
      </c>
      <c r="C47" s="7" t="s">
        <v>77</v>
      </c>
      <c r="D47" s="41">
        <v>0.35399999999999998</v>
      </c>
      <c r="E47" s="16" t="s">
        <v>69</v>
      </c>
      <c r="F47" s="26" t="e">
        <f>#REF!</f>
        <v>#REF!</v>
      </c>
      <c r="G47" s="18" t="e">
        <f t="shared" si="1"/>
        <v>#REF!</v>
      </c>
    </row>
    <row r="48" spans="1:8" x14ac:dyDescent="0.25">
      <c r="A48" s="16"/>
      <c r="B48" s="21" t="s">
        <v>78</v>
      </c>
      <c r="C48" s="7" t="s">
        <v>79</v>
      </c>
      <c r="D48" s="17">
        <v>1</v>
      </c>
      <c r="E48" s="16" t="s">
        <v>12</v>
      </c>
      <c r="F48" s="26" t="e">
        <f>#REF!</f>
        <v>#REF!</v>
      </c>
      <c r="G48" s="18" t="e">
        <f t="shared" si="1"/>
        <v>#REF!</v>
      </c>
    </row>
    <row r="49" spans="1:7" x14ac:dyDescent="0.25">
      <c r="A49" s="16"/>
      <c r="B49" s="21" t="s">
        <v>80</v>
      </c>
      <c r="C49" s="7" t="s">
        <v>81</v>
      </c>
      <c r="D49" s="17">
        <v>59</v>
      </c>
      <c r="E49" s="16" t="s">
        <v>12</v>
      </c>
      <c r="F49" s="26" t="e">
        <f>#REF!</f>
        <v>#REF!</v>
      </c>
      <c r="G49" s="18" t="e">
        <f t="shared" si="1"/>
        <v>#REF!</v>
      </c>
    </row>
    <row r="50" spans="1:7" x14ac:dyDescent="0.25">
      <c r="A50" s="16"/>
      <c r="B50" s="21" t="s">
        <v>82</v>
      </c>
      <c r="C50" s="7" t="s">
        <v>83</v>
      </c>
      <c r="D50" s="41">
        <v>2.8050000000000002</v>
      </c>
      <c r="E50" s="16" t="s">
        <v>69</v>
      </c>
      <c r="F50" s="26" t="e">
        <f>#REF!</f>
        <v>#REF!</v>
      </c>
      <c r="G50" s="18" t="e">
        <f t="shared" si="1"/>
        <v>#REF!</v>
      </c>
    </row>
    <row r="51" spans="1:7" x14ac:dyDescent="0.25">
      <c r="A51" s="16"/>
      <c r="B51" s="21" t="s">
        <v>84</v>
      </c>
      <c r="C51" s="7" t="s">
        <v>85</v>
      </c>
      <c r="D51" s="27">
        <v>1776</v>
      </c>
      <c r="E51" s="16" t="s">
        <v>1</v>
      </c>
      <c r="F51" s="26" t="e">
        <f>#REF!</f>
        <v>#REF!</v>
      </c>
      <c r="G51" s="18" t="e">
        <f t="shared" si="1"/>
        <v>#REF!</v>
      </c>
    </row>
    <row r="52" spans="1:7" x14ac:dyDescent="0.25">
      <c r="A52" s="16"/>
      <c r="B52" s="21" t="s">
        <v>86</v>
      </c>
      <c r="C52" s="7" t="s">
        <v>87</v>
      </c>
      <c r="D52" s="41">
        <v>0.114</v>
      </c>
      <c r="E52" s="16" t="s">
        <v>69</v>
      </c>
      <c r="F52" s="26" t="e">
        <f>#REF!</f>
        <v>#REF!</v>
      </c>
      <c r="G52" s="18" t="e">
        <f t="shared" si="1"/>
        <v>#REF!</v>
      </c>
    </row>
    <row r="53" spans="1:7" x14ac:dyDescent="0.25">
      <c r="A53" s="16"/>
      <c r="B53" s="21" t="s">
        <v>88</v>
      </c>
      <c r="C53" s="7" t="s">
        <v>89</v>
      </c>
      <c r="D53" s="41">
        <v>7.4999999999999997E-2</v>
      </c>
      <c r="E53" s="16" t="s">
        <v>69</v>
      </c>
      <c r="F53" s="26" t="e">
        <f>#REF!</f>
        <v>#REF!</v>
      </c>
      <c r="G53" s="18" t="e">
        <f t="shared" si="1"/>
        <v>#REF!</v>
      </c>
    </row>
    <row r="54" spans="1:7" x14ac:dyDescent="0.25">
      <c r="A54" s="16"/>
      <c r="B54" s="21" t="s">
        <v>90</v>
      </c>
      <c r="C54" s="7" t="s">
        <v>91</v>
      </c>
      <c r="D54" s="17">
        <v>66</v>
      </c>
      <c r="E54" s="16" t="s">
        <v>45</v>
      </c>
      <c r="F54" s="26" t="e">
        <f>#REF!</f>
        <v>#REF!</v>
      </c>
      <c r="G54" s="18" t="e">
        <f t="shared" si="1"/>
        <v>#REF!</v>
      </c>
    </row>
    <row r="55" spans="1:7" x14ac:dyDescent="0.25">
      <c r="A55" s="16"/>
      <c r="B55" s="21" t="s">
        <v>92</v>
      </c>
      <c r="C55" s="7" t="s">
        <v>93</v>
      </c>
      <c r="D55" s="27">
        <v>1</v>
      </c>
      <c r="E55" s="16" t="s">
        <v>66</v>
      </c>
      <c r="F55" s="26" t="e">
        <f>#REF!</f>
        <v>#REF!</v>
      </c>
      <c r="G55" s="18" t="e">
        <f t="shared" si="1"/>
        <v>#REF!</v>
      </c>
    </row>
    <row r="56" spans="1:7" x14ac:dyDescent="0.25">
      <c r="A56" s="16"/>
      <c r="B56" s="21" t="s">
        <v>94</v>
      </c>
      <c r="C56" s="7" t="s">
        <v>95</v>
      </c>
      <c r="D56" s="17">
        <v>29</v>
      </c>
      <c r="E56" s="16" t="s">
        <v>96</v>
      </c>
      <c r="F56" s="26" t="e">
        <f>#REF!</f>
        <v>#REF!</v>
      </c>
      <c r="G56" s="18" t="e">
        <f t="shared" si="1"/>
        <v>#REF!</v>
      </c>
    </row>
    <row r="57" spans="1:7" x14ac:dyDescent="0.25">
      <c r="A57" s="16"/>
      <c r="B57" s="21" t="s">
        <v>97</v>
      </c>
      <c r="C57" s="7" t="s">
        <v>98</v>
      </c>
      <c r="D57" s="17">
        <v>16</v>
      </c>
      <c r="E57" s="16" t="s">
        <v>96</v>
      </c>
      <c r="F57" s="26" t="e">
        <f>#REF!</f>
        <v>#REF!</v>
      </c>
      <c r="G57" s="18" t="e">
        <f t="shared" si="1"/>
        <v>#REF!</v>
      </c>
    </row>
    <row r="58" spans="1:7" x14ac:dyDescent="0.25">
      <c r="A58" s="16"/>
      <c r="B58" s="21" t="s">
        <v>99</v>
      </c>
      <c r="C58" s="7" t="s">
        <v>100</v>
      </c>
      <c r="D58" s="17">
        <v>15</v>
      </c>
      <c r="E58" s="16" t="s">
        <v>96</v>
      </c>
      <c r="F58" s="26" t="e">
        <f>#REF!</f>
        <v>#REF!</v>
      </c>
      <c r="G58" s="18" t="e">
        <f t="shared" si="1"/>
        <v>#REF!</v>
      </c>
    </row>
    <row r="59" spans="1:7" x14ac:dyDescent="0.25">
      <c r="A59" s="16"/>
      <c r="B59" s="21" t="s">
        <v>101</v>
      </c>
      <c r="C59" s="7" t="s">
        <v>102</v>
      </c>
      <c r="D59" s="17">
        <v>4</v>
      </c>
      <c r="E59" s="16" t="s">
        <v>96</v>
      </c>
      <c r="F59" s="26" t="e">
        <f>#REF!</f>
        <v>#REF!</v>
      </c>
      <c r="G59" s="18" t="e">
        <f t="shared" si="1"/>
        <v>#REF!</v>
      </c>
    </row>
    <row r="60" spans="1:7" x14ac:dyDescent="0.25">
      <c r="A60" s="16"/>
      <c r="B60" s="96" t="s">
        <v>264</v>
      </c>
      <c r="C60" s="7" t="s">
        <v>103</v>
      </c>
      <c r="D60" s="17">
        <v>812</v>
      </c>
      <c r="E60" s="16" t="s">
        <v>12</v>
      </c>
      <c r="F60" s="26" t="e">
        <f>#REF!</f>
        <v>#REF!</v>
      </c>
      <c r="G60" s="18" t="e">
        <f t="shared" si="1"/>
        <v>#REF!</v>
      </c>
    </row>
    <row r="61" spans="1:7" x14ac:dyDescent="0.25">
      <c r="A61" s="16"/>
      <c r="B61" s="96" t="s">
        <v>264</v>
      </c>
      <c r="C61" s="7" t="s">
        <v>104</v>
      </c>
      <c r="D61" s="17">
        <v>358</v>
      </c>
      <c r="E61" s="16" t="s">
        <v>12</v>
      </c>
      <c r="F61" s="26" t="e">
        <f>#REF!</f>
        <v>#REF!</v>
      </c>
      <c r="G61" s="18" t="e">
        <f t="shared" si="1"/>
        <v>#REF!</v>
      </c>
    </row>
    <row r="62" spans="1:7" x14ac:dyDescent="0.25">
      <c r="A62" s="16"/>
      <c r="B62" s="96" t="s">
        <v>264</v>
      </c>
      <c r="C62" s="7" t="s">
        <v>105</v>
      </c>
      <c r="D62" s="17">
        <v>88</v>
      </c>
      <c r="E62" s="16" t="s">
        <v>12</v>
      </c>
      <c r="F62" s="26" t="e">
        <f>#REF!</f>
        <v>#REF!</v>
      </c>
      <c r="G62" s="18" t="e">
        <f t="shared" si="1"/>
        <v>#REF!</v>
      </c>
    </row>
    <row r="63" spans="1:7" x14ac:dyDescent="0.25">
      <c r="A63" s="16"/>
      <c r="B63" s="96" t="s">
        <v>283</v>
      </c>
      <c r="C63" s="7" t="s">
        <v>284</v>
      </c>
      <c r="D63" s="17">
        <v>1156</v>
      </c>
      <c r="E63" s="16" t="s">
        <v>1</v>
      </c>
      <c r="F63" s="26" t="e">
        <f>#REF!</f>
        <v>#REF!</v>
      </c>
      <c r="G63" s="18" t="e">
        <f t="shared" si="1"/>
        <v>#REF!</v>
      </c>
    </row>
    <row r="64" spans="1:7" x14ac:dyDescent="0.25">
      <c r="A64" s="16"/>
      <c r="B64" s="96" t="s">
        <v>354</v>
      </c>
      <c r="C64" s="7" t="s">
        <v>355</v>
      </c>
      <c r="D64" s="17"/>
      <c r="E64" s="16"/>
      <c r="F64" s="26"/>
      <c r="G64" s="18"/>
    </row>
    <row r="65" spans="1:8" x14ac:dyDescent="0.25">
      <c r="A65" s="16"/>
      <c r="B65" s="96" t="s">
        <v>285</v>
      </c>
      <c r="C65" s="7" t="s">
        <v>286</v>
      </c>
      <c r="D65" s="17">
        <v>824</v>
      </c>
      <c r="E65" s="16" t="s">
        <v>1</v>
      </c>
      <c r="F65" s="26" t="e">
        <f>#REF!</f>
        <v>#REF!</v>
      </c>
      <c r="G65" s="18" t="e">
        <f t="shared" si="1"/>
        <v>#REF!</v>
      </c>
    </row>
    <row r="66" spans="1:8" x14ac:dyDescent="0.25">
      <c r="A66" s="16"/>
      <c r="B66" s="96" t="s">
        <v>287</v>
      </c>
      <c r="C66" s="7" t="s">
        <v>288</v>
      </c>
      <c r="D66" s="41">
        <v>0.35399999999999998</v>
      </c>
      <c r="E66" s="16" t="s">
        <v>69</v>
      </c>
      <c r="F66" s="26" t="e">
        <f>#REF!</f>
        <v>#REF!</v>
      </c>
      <c r="G66" s="18" t="e">
        <f t="shared" si="1"/>
        <v>#REF!</v>
      </c>
    </row>
    <row r="67" spans="1:8" x14ac:dyDescent="0.25">
      <c r="A67" s="16"/>
      <c r="B67" s="96" t="s">
        <v>356</v>
      </c>
      <c r="C67" s="7" t="s">
        <v>357</v>
      </c>
      <c r="D67" s="41"/>
      <c r="E67" s="16"/>
      <c r="F67" s="26"/>
      <c r="G67" s="18"/>
    </row>
    <row r="68" spans="1:8" x14ac:dyDescent="0.25">
      <c r="A68" s="16"/>
      <c r="B68" s="96" t="s">
        <v>358</v>
      </c>
      <c r="C68" s="7" t="s">
        <v>359</v>
      </c>
      <c r="D68" s="41"/>
      <c r="E68" s="16"/>
      <c r="F68" s="26"/>
      <c r="G68" s="18"/>
    </row>
    <row r="69" spans="1:8" x14ac:dyDescent="0.25">
      <c r="A69" s="16"/>
      <c r="B69" s="96" t="s">
        <v>361</v>
      </c>
      <c r="C69" s="123" t="s">
        <v>360</v>
      </c>
      <c r="D69" s="41"/>
      <c r="E69" s="16"/>
      <c r="F69" s="26"/>
      <c r="G69" s="18"/>
    </row>
    <row r="70" spans="1:8" x14ac:dyDescent="0.25">
      <c r="A70" s="16"/>
      <c r="B70" s="96" t="s">
        <v>289</v>
      </c>
      <c r="C70" s="7" t="s">
        <v>292</v>
      </c>
      <c r="D70" s="17">
        <v>59</v>
      </c>
      <c r="E70" s="16" t="s">
        <v>12</v>
      </c>
      <c r="F70" s="26" t="e">
        <f>#REF!</f>
        <v>#REF!</v>
      </c>
      <c r="G70" s="18" t="e">
        <f t="shared" si="1"/>
        <v>#REF!</v>
      </c>
    </row>
    <row r="71" spans="1:8" x14ac:dyDescent="0.25">
      <c r="A71" s="16"/>
      <c r="B71" s="96" t="s">
        <v>290</v>
      </c>
      <c r="C71" s="7" t="s">
        <v>294</v>
      </c>
      <c r="D71" s="41">
        <v>2.9569999999999999</v>
      </c>
      <c r="E71" s="16" t="s">
        <v>69</v>
      </c>
      <c r="F71" s="26" t="e">
        <f>#REF!</f>
        <v>#REF!</v>
      </c>
      <c r="G71" s="18" t="e">
        <f t="shared" si="1"/>
        <v>#REF!</v>
      </c>
    </row>
    <row r="72" spans="1:8" x14ac:dyDescent="0.25">
      <c r="A72" s="16"/>
      <c r="B72" s="96" t="s">
        <v>291</v>
      </c>
      <c r="C72" s="7" t="s">
        <v>293</v>
      </c>
      <c r="D72" s="41">
        <v>2.8050000000000002</v>
      </c>
      <c r="E72" s="16" t="s">
        <v>69</v>
      </c>
      <c r="F72" s="26" t="e">
        <f>#REF!</f>
        <v>#REF!</v>
      </c>
      <c r="G72" s="18" t="e">
        <f t="shared" si="1"/>
        <v>#REF!</v>
      </c>
    </row>
    <row r="73" spans="1:8" s="108" customFormat="1" x14ac:dyDescent="0.25">
      <c r="A73" s="124"/>
      <c r="B73" s="125" t="s">
        <v>365</v>
      </c>
      <c r="C73" s="126" t="s">
        <v>366</v>
      </c>
      <c r="D73" s="127"/>
      <c r="E73" s="128"/>
      <c r="F73" s="129"/>
      <c r="G73" s="130"/>
    </row>
    <row r="74" spans="1:8" ht="15.75" thickBot="1" x14ac:dyDescent="0.3">
      <c r="A74" s="16"/>
      <c r="B74" s="21" t="s">
        <v>181</v>
      </c>
      <c r="C74" s="7" t="s">
        <v>182</v>
      </c>
      <c r="D74" s="14"/>
      <c r="E74" s="15"/>
      <c r="F74" s="11"/>
      <c r="G74" s="28"/>
    </row>
    <row r="75" spans="1:8" ht="15.75" thickBot="1" x14ac:dyDescent="0.3">
      <c r="A75" s="16"/>
      <c r="B75" s="21" t="s">
        <v>195</v>
      </c>
      <c r="C75" s="7" t="s">
        <v>196</v>
      </c>
      <c r="F75" s="8" t="s">
        <v>7</v>
      </c>
      <c r="G75" s="9" t="e">
        <f>SUM(G7:G72)</f>
        <v>#REF!</v>
      </c>
    </row>
    <row r="76" spans="1:8" x14ac:dyDescent="0.25">
      <c r="A76" s="16"/>
      <c r="B76" s="21" t="s">
        <v>183</v>
      </c>
      <c r="C76" s="7" t="s">
        <v>184</v>
      </c>
    </row>
    <row r="77" spans="1:8" x14ac:dyDescent="0.25">
      <c r="A77" s="16"/>
      <c r="B77" s="21" t="s">
        <v>222</v>
      </c>
      <c r="C77" s="7" t="s">
        <v>223</v>
      </c>
    </row>
    <row r="78" spans="1:8" s="2" customFormat="1" x14ac:dyDescent="0.25">
      <c r="A78" s="16"/>
      <c r="B78" s="21" t="s">
        <v>197</v>
      </c>
      <c r="C78" s="7" t="s">
        <v>198</v>
      </c>
      <c r="E78" s="3"/>
      <c r="F78" s="1"/>
      <c r="G78" s="1"/>
      <c r="H78"/>
    </row>
    <row r="79" spans="1:8" s="2" customFormat="1" x14ac:dyDescent="0.25">
      <c r="A79" s="16"/>
      <c r="B79" s="21" t="s">
        <v>211</v>
      </c>
      <c r="C79" s="7" t="s">
        <v>212</v>
      </c>
      <c r="E79" s="3"/>
      <c r="F79" s="1"/>
      <c r="G79" s="1"/>
      <c r="H79"/>
    </row>
    <row r="80" spans="1:8" s="2" customFormat="1" x14ac:dyDescent="0.25">
      <c r="A80" s="16"/>
      <c r="B80" s="21" t="s">
        <v>199</v>
      </c>
      <c r="C80" s="7" t="s">
        <v>200</v>
      </c>
      <c r="E80" s="3"/>
      <c r="F80" s="1"/>
      <c r="G80" s="1"/>
      <c r="H80"/>
    </row>
    <row r="81" spans="1:8" s="2" customFormat="1" x14ac:dyDescent="0.25">
      <c r="A81" s="16"/>
      <c r="B81" s="21" t="s">
        <v>201</v>
      </c>
      <c r="C81" s="7" t="s">
        <v>202</v>
      </c>
      <c r="E81" s="3"/>
      <c r="F81" s="1"/>
      <c r="G81" s="1"/>
      <c r="H81"/>
    </row>
    <row r="82" spans="1:8" x14ac:dyDescent="0.25">
      <c r="A82" s="16"/>
      <c r="B82" s="21" t="s">
        <v>203</v>
      </c>
      <c r="C82" s="7" t="s">
        <v>204</v>
      </c>
    </row>
    <row r="83" spans="1:8" x14ac:dyDescent="0.25">
      <c r="A83" s="16"/>
      <c r="B83" s="21" t="s">
        <v>213</v>
      </c>
      <c r="C83" s="7" t="s">
        <v>214</v>
      </c>
    </row>
    <row r="84" spans="1:8" x14ac:dyDescent="0.25">
      <c r="A84" s="16"/>
      <c r="B84" s="21" t="s">
        <v>224</v>
      </c>
      <c r="C84" s="7" t="s">
        <v>225</v>
      </c>
    </row>
    <row r="85" spans="1:8" x14ac:dyDescent="0.25">
      <c r="A85" s="16"/>
      <c r="B85" s="21" t="s">
        <v>226</v>
      </c>
      <c r="C85" s="7" t="s">
        <v>227</v>
      </c>
    </row>
    <row r="86" spans="1:8" x14ac:dyDescent="0.25">
      <c r="A86" s="16"/>
      <c r="B86" s="21" t="s">
        <v>228</v>
      </c>
      <c r="C86" s="7" t="s">
        <v>229</v>
      </c>
    </row>
    <row r="87" spans="1:8" x14ac:dyDescent="0.25">
      <c r="A87" s="16"/>
      <c r="B87" s="21" t="s">
        <v>215</v>
      </c>
      <c r="C87" s="7" t="s">
        <v>216</v>
      </c>
    </row>
    <row r="88" spans="1:8" x14ac:dyDescent="0.25">
      <c r="A88" s="16"/>
      <c r="B88" s="103" t="s">
        <v>265</v>
      </c>
      <c r="C88" s="7" t="s">
        <v>266</v>
      </c>
    </row>
    <row r="89" spans="1:8" x14ac:dyDescent="0.25">
      <c r="A89" s="16"/>
      <c r="B89" s="103" t="s">
        <v>267</v>
      </c>
      <c r="C89" s="7" t="s">
        <v>268</v>
      </c>
    </row>
    <row r="90" spans="1:8" x14ac:dyDescent="0.25">
      <c r="A90" s="16"/>
      <c r="B90" s="103" t="s">
        <v>269</v>
      </c>
      <c r="C90" s="7" t="s">
        <v>270</v>
      </c>
    </row>
    <row r="91" spans="1:8" x14ac:dyDescent="0.25">
      <c r="A91" s="16"/>
      <c r="B91" s="103" t="s">
        <v>230</v>
      </c>
      <c r="C91" s="7" t="s">
        <v>231</v>
      </c>
    </row>
    <row r="92" spans="1:8" x14ac:dyDescent="0.25">
      <c r="A92" s="16"/>
      <c r="B92" s="103" t="s">
        <v>205</v>
      </c>
      <c r="C92" s="7" t="s">
        <v>206</v>
      </c>
    </row>
    <row r="93" spans="1:8" x14ac:dyDescent="0.25">
      <c r="A93" s="16"/>
      <c r="B93" s="103" t="s">
        <v>232</v>
      </c>
      <c r="C93" s="7" t="s">
        <v>233</v>
      </c>
    </row>
    <row r="94" spans="1:8" x14ac:dyDescent="0.25">
      <c r="A94" s="16"/>
      <c r="B94" s="103" t="s">
        <v>187</v>
      </c>
      <c r="C94" s="7" t="s">
        <v>188</v>
      </c>
    </row>
    <row r="95" spans="1:8" x14ac:dyDescent="0.25">
      <c r="A95" s="16"/>
      <c r="B95" s="103" t="s">
        <v>185</v>
      </c>
      <c r="C95" s="7" t="s">
        <v>186</v>
      </c>
    </row>
    <row r="96" spans="1:8" x14ac:dyDescent="0.25">
      <c r="A96" s="16"/>
      <c r="B96" s="103">
        <v>430175118</v>
      </c>
      <c r="C96" s="7" t="s">
        <v>207</v>
      </c>
    </row>
    <row r="97" spans="1:3" x14ac:dyDescent="0.25">
      <c r="A97" s="16"/>
      <c r="B97" s="103">
        <v>430175124</v>
      </c>
      <c r="C97" s="7" t="s">
        <v>208</v>
      </c>
    </row>
    <row r="98" spans="1:3" x14ac:dyDescent="0.25">
      <c r="A98" s="16"/>
      <c r="B98" s="103">
        <v>430175130</v>
      </c>
      <c r="C98" s="7" t="s">
        <v>217</v>
      </c>
    </row>
    <row r="99" spans="1:3" x14ac:dyDescent="0.25">
      <c r="A99" s="16"/>
      <c r="B99" s="103">
        <v>430175218</v>
      </c>
      <c r="C99" s="7" t="s">
        <v>234</v>
      </c>
    </row>
    <row r="100" spans="1:3" x14ac:dyDescent="0.25">
      <c r="A100" s="16"/>
      <c r="B100" s="103">
        <v>430175224</v>
      </c>
      <c r="C100" s="7" t="s">
        <v>209</v>
      </c>
    </row>
    <row r="101" spans="1:3" x14ac:dyDescent="0.25">
      <c r="A101" s="16"/>
      <c r="B101" s="103">
        <v>430175230</v>
      </c>
      <c r="C101" s="7" t="s">
        <v>235</v>
      </c>
    </row>
    <row r="102" spans="1:3" x14ac:dyDescent="0.25">
      <c r="A102" s="16"/>
      <c r="B102" s="103">
        <v>430175236</v>
      </c>
      <c r="C102" s="7" t="s">
        <v>236</v>
      </c>
    </row>
    <row r="103" spans="1:3" x14ac:dyDescent="0.25">
      <c r="A103" s="16"/>
      <c r="B103" s="103">
        <v>430175242</v>
      </c>
      <c r="C103" s="7" t="s">
        <v>237</v>
      </c>
    </row>
    <row r="104" spans="1:3" x14ac:dyDescent="0.25">
      <c r="A104" s="16"/>
      <c r="B104" s="103">
        <v>430175248</v>
      </c>
      <c r="C104" s="7" t="s">
        <v>238</v>
      </c>
    </row>
    <row r="105" spans="1:3" x14ac:dyDescent="0.25">
      <c r="A105" s="16"/>
      <c r="B105" s="103">
        <v>430175260</v>
      </c>
      <c r="C105" s="7" t="s">
        <v>189</v>
      </c>
    </row>
    <row r="106" spans="1:3" x14ac:dyDescent="0.25">
      <c r="A106" s="16"/>
      <c r="B106" s="103">
        <v>430524120</v>
      </c>
      <c r="C106" s="7" t="s">
        <v>276</v>
      </c>
    </row>
    <row r="107" spans="1:3" x14ac:dyDescent="0.25">
      <c r="A107" s="16"/>
      <c r="B107" s="103">
        <v>430548200</v>
      </c>
      <c r="C107" s="7" t="s">
        <v>277</v>
      </c>
    </row>
    <row r="108" spans="1:3" x14ac:dyDescent="0.25">
      <c r="A108" s="16"/>
      <c r="B108" s="103">
        <v>430560200</v>
      </c>
      <c r="C108" s="7" t="s">
        <v>278</v>
      </c>
    </row>
    <row r="109" spans="1:3" x14ac:dyDescent="0.25">
      <c r="A109" s="16"/>
      <c r="B109" s="103" t="s">
        <v>239</v>
      </c>
      <c r="C109" s="7" t="s">
        <v>240</v>
      </c>
    </row>
    <row r="110" spans="1:3" x14ac:dyDescent="0.25">
      <c r="A110" s="16"/>
      <c r="B110" s="103">
        <v>430982123</v>
      </c>
      <c r="C110" s="7" t="s">
        <v>218</v>
      </c>
    </row>
    <row r="111" spans="1:3" x14ac:dyDescent="0.25">
      <c r="A111" s="16"/>
      <c r="B111" s="103">
        <v>430982125</v>
      </c>
      <c r="C111" s="7" t="s">
        <v>210</v>
      </c>
    </row>
    <row r="112" spans="1:3" x14ac:dyDescent="0.25">
      <c r="A112" s="16"/>
      <c r="B112" s="103">
        <v>430982129</v>
      </c>
      <c r="C112" s="7" t="s">
        <v>219</v>
      </c>
    </row>
    <row r="113" spans="1:3" x14ac:dyDescent="0.25">
      <c r="A113" s="16"/>
      <c r="B113" s="103">
        <v>430982623</v>
      </c>
      <c r="C113" s="7" t="s">
        <v>241</v>
      </c>
    </row>
    <row r="114" spans="1:3" x14ac:dyDescent="0.25">
      <c r="A114" s="16"/>
      <c r="B114" s="103">
        <v>430982638</v>
      </c>
      <c r="C114" s="7" t="s">
        <v>242</v>
      </c>
    </row>
    <row r="115" spans="1:3" x14ac:dyDescent="0.25">
      <c r="A115" s="16"/>
      <c r="B115" s="103">
        <v>430982643</v>
      </c>
      <c r="C115" s="7" t="s">
        <v>190</v>
      </c>
    </row>
    <row r="116" spans="1:3" x14ac:dyDescent="0.25">
      <c r="A116" s="16"/>
      <c r="B116" s="103" t="s">
        <v>220</v>
      </c>
      <c r="C116" s="7" t="s">
        <v>221</v>
      </c>
    </row>
    <row r="117" spans="1:3" x14ac:dyDescent="0.25">
      <c r="A117" s="16"/>
      <c r="B117" s="104" t="s">
        <v>272</v>
      </c>
      <c r="C117" s="7" t="s">
        <v>273</v>
      </c>
    </row>
    <row r="118" spans="1:3" x14ac:dyDescent="0.25">
      <c r="A118" s="16"/>
      <c r="B118" s="21" t="s">
        <v>191</v>
      </c>
      <c r="C118" s="7" t="s">
        <v>192</v>
      </c>
    </row>
    <row r="119" spans="1:3" x14ac:dyDescent="0.25">
      <c r="A119" s="16"/>
      <c r="B119" s="21" t="s">
        <v>193</v>
      </c>
      <c r="C119" s="7" t="s">
        <v>194</v>
      </c>
    </row>
    <row r="120" spans="1:3" x14ac:dyDescent="0.25">
      <c r="A120" s="16"/>
      <c r="B120" s="21"/>
      <c r="C120" s="7"/>
    </row>
    <row r="121" spans="1:3" x14ac:dyDescent="0.25">
      <c r="A121" s="16"/>
      <c r="B121" s="65" t="s">
        <v>122</v>
      </c>
      <c r="C121" s="71" t="s">
        <v>123</v>
      </c>
    </row>
    <row r="122" spans="1:3" x14ac:dyDescent="0.25">
      <c r="A122" s="16"/>
      <c r="B122" s="65" t="s">
        <v>124</v>
      </c>
      <c r="C122" s="71" t="s">
        <v>125</v>
      </c>
    </row>
    <row r="123" spans="1:3" x14ac:dyDescent="0.25">
      <c r="A123" s="16"/>
      <c r="B123" s="65" t="s">
        <v>126</v>
      </c>
      <c r="C123" s="71" t="s">
        <v>342</v>
      </c>
    </row>
    <row r="124" spans="1:3" x14ac:dyDescent="0.25">
      <c r="A124" s="16"/>
      <c r="B124" s="121" t="s">
        <v>352</v>
      </c>
      <c r="C124" s="71" t="s">
        <v>353</v>
      </c>
    </row>
    <row r="125" spans="1:3" x14ac:dyDescent="0.25">
      <c r="A125" s="16"/>
      <c r="B125" s="65" t="s">
        <v>128</v>
      </c>
      <c r="C125" s="71" t="s">
        <v>129</v>
      </c>
    </row>
    <row r="126" spans="1:3" x14ac:dyDescent="0.25">
      <c r="A126" s="16"/>
      <c r="B126" s="65" t="s">
        <v>130</v>
      </c>
      <c r="C126" s="71" t="s">
        <v>131</v>
      </c>
    </row>
    <row r="127" spans="1:3" x14ac:dyDescent="0.25">
      <c r="A127" s="16"/>
      <c r="B127" s="65" t="s">
        <v>132</v>
      </c>
      <c r="C127" s="71" t="s">
        <v>133</v>
      </c>
    </row>
    <row r="128" spans="1:3" x14ac:dyDescent="0.25">
      <c r="A128" s="16"/>
      <c r="B128" s="65" t="s">
        <v>134</v>
      </c>
      <c r="C128" s="71" t="s">
        <v>135</v>
      </c>
    </row>
    <row r="129" spans="1:3" x14ac:dyDescent="0.25">
      <c r="A129" s="16"/>
      <c r="B129" s="65" t="s">
        <v>136</v>
      </c>
      <c r="C129" s="71" t="s">
        <v>137</v>
      </c>
    </row>
    <row r="130" spans="1:3" x14ac:dyDescent="0.25">
      <c r="A130" s="16"/>
      <c r="B130" s="65" t="s">
        <v>374</v>
      </c>
      <c r="C130" s="71" t="s">
        <v>376</v>
      </c>
    </row>
    <row r="131" spans="1:3" x14ac:dyDescent="0.25">
      <c r="A131" s="16"/>
      <c r="B131" s="65" t="s">
        <v>138</v>
      </c>
      <c r="C131" s="71" t="s">
        <v>139</v>
      </c>
    </row>
    <row r="132" spans="1:3" x14ac:dyDescent="0.25">
      <c r="A132" s="16"/>
      <c r="B132" s="65" t="s">
        <v>140</v>
      </c>
      <c r="C132" s="71" t="s">
        <v>141</v>
      </c>
    </row>
    <row r="133" spans="1:3" x14ac:dyDescent="0.25">
      <c r="A133" s="16"/>
      <c r="B133" s="65" t="s">
        <v>142</v>
      </c>
      <c r="C133" s="71" t="s">
        <v>143</v>
      </c>
    </row>
    <row r="134" spans="1:3" x14ac:dyDescent="0.25">
      <c r="A134" s="16"/>
      <c r="B134" s="65" t="s">
        <v>144</v>
      </c>
      <c r="C134" s="71" t="s">
        <v>145</v>
      </c>
    </row>
    <row r="135" spans="1:3" x14ac:dyDescent="0.25">
      <c r="A135" s="16"/>
      <c r="B135" s="65" t="s">
        <v>377</v>
      </c>
      <c r="C135" s="71" t="s">
        <v>379</v>
      </c>
    </row>
    <row r="136" spans="1:3" x14ac:dyDescent="0.25">
      <c r="A136" s="16"/>
      <c r="B136" s="65" t="s">
        <v>146</v>
      </c>
      <c r="C136" s="71" t="s">
        <v>341</v>
      </c>
    </row>
    <row r="137" spans="1:3" x14ac:dyDescent="0.25">
      <c r="A137" s="16"/>
      <c r="B137" s="121" t="s">
        <v>349</v>
      </c>
      <c r="C137" s="71" t="s">
        <v>394</v>
      </c>
    </row>
    <row r="138" spans="1:3" x14ac:dyDescent="0.25">
      <c r="A138" s="16"/>
      <c r="B138" s="65" t="s">
        <v>147</v>
      </c>
      <c r="C138" s="71" t="s">
        <v>148</v>
      </c>
    </row>
    <row r="139" spans="1:3" x14ac:dyDescent="0.25">
      <c r="A139" s="16"/>
      <c r="B139" s="65" t="s">
        <v>149</v>
      </c>
      <c r="C139" s="71" t="s">
        <v>150</v>
      </c>
    </row>
    <row r="140" spans="1:3" x14ac:dyDescent="0.25">
      <c r="A140" s="16"/>
      <c r="B140" s="65" t="s">
        <v>151</v>
      </c>
      <c r="C140" s="72" t="s">
        <v>152</v>
      </c>
    </row>
    <row r="141" spans="1:3" x14ac:dyDescent="0.25">
      <c r="A141" s="16"/>
      <c r="B141" s="65" t="s">
        <v>153</v>
      </c>
      <c r="C141" s="72" t="s">
        <v>340</v>
      </c>
    </row>
    <row r="142" spans="1:3" x14ac:dyDescent="0.25">
      <c r="A142" s="16"/>
      <c r="B142" s="121" t="s">
        <v>380</v>
      </c>
      <c r="C142" s="72" t="s">
        <v>381</v>
      </c>
    </row>
    <row r="143" spans="1:3" x14ac:dyDescent="0.25">
      <c r="A143" s="16"/>
      <c r="B143" s="65" t="s">
        <v>154</v>
      </c>
      <c r="C143" s="71" t="s">
        <v>155</v>
      </c>
    </row>
    <row r="144" spans="1:3" x14ac:dyDescent="0.25">
      <c r="A144" s="16"/>
      <c r="B144" s="65" t="s">
        <v>156</v>
      </c>
      <c r="C144" s="72" t="s">
        <v>339</v>
      </c>
    </row>
    <row r="145" spans="1:3" x14ac:dyDescent="0.25">
      <c r="A145" s="16"/>
      <c r="B145" s="65" t="s">
        <v>157</v>
      </c>
      <c r="C145" s="72" t="s">
        <v>338</v>
      </c>
    </row>
    <row r="146" spans="1:3" x14ac:dyDescent="0.25">
      <c r="A146" s="16"/>
      <c r="B146" s="65" t="s">
        <v>158</v>
      </c>
      <c r="C146" s="72" t="s">
        <v>337</v>
      </c>
    </row>
    <row r="147" spans="1:3" x14ac:dyDescent="0.25">
      <c r="A147" s="16"/>
      <c r="B147" s="132" t="s">
        <v>385</v>
      </c>
      <c r="C147" s="66" t="s">
        <v>382</v>
      </c>
    </row>
    <row r="148" spans="1:3" x14ac:dyDescent="0.25">
      <c r="A148" s="16"/>
      <c r="B148" s="132" t="s">
        <v>386</v>
      </c>
      <c r="C148" s="66" t="s">
        <v>383</v>
      </c>
    </row>
    <row r="149" spans="1:3" x14ac:dyDescent="0.25">
      <c r="A149" s="16"/>
      <c r="B149" s="132" t="s">
        <v>387</v>
      </c>
      <c r="C149" s="66" t="s">
        <v>384</v>
      </c>
    </row>
    <row r="150" spans="1:3" x14ac:dyDescent="0.25">
      <c r="A150" s="16"/>
      <c r="B150" s="67" t="s">
        <v>159</v>
      </c>
      <c r="C150" s="66" t="s">
        <v>336</v>
      </c>
    </row>
    <row r="151" spans="1:3" x14ac:dyDescent="0.25">
      <c r="A151" s="16"/>
      <c r="B151" s="67" t="s">
        <v>304</v>
      </c>
      <c r="C151" s="66" t="s">
        <v>335</v>
      </c>
    </row>
    <row r="152" spans="1:3" x14ac:dyDescent="0.25">
      <c r="A152" s="16"/>
      <c r="B152" s="67" t="s">
        <v>305</v>
      </c>
      <c r="C152" s="66" t="s">
        <v>334</v>
      </c>
    </row>
    <row r="153" spans="1:3" x14ac:dyDescent="0.25">
      <c r="A153" s="16"/>
      <c r="B153" s="67" t="s">
        <v>160</v>
      </c>
      <c r="C153" s="66" t="s">
        <v>333</v>
      </c>
    </row>
    <row r="154" spans="1:3" x14ac:dyDescent="0.25">
      <c r="A154" s="16"/>
      <c r="B154" s="67" t="s">
        <v>161</v>
      </c>
      <c r="C154" s="66" t="s">
        <v>332</v>
      </c>
    </row>
    <row r="155" spans="1:3" x14ac:dyDescent="0.25">
      <c r="A155" s="16"/>
      <c r="B155" s="67" t="s">
        <v>162</v>
      </c>
      <c r="C155" s="66" t="s">
        <v>163</v>
      </c>
    </row>
    <row r="156" spans="1:3" x14ac:dyDescent="0.25">
      <c r="A156" s="16"/>
      <c r="B156" s="67" t="s">
        <v>164</v>
      </c>
      <c r="C156" s="66" t="s">
        <v>165</v>
      </c>
    </row>
    <row r="157" spans="1:3" x14ac:dyDescent="0.25">
      <c r="A157" s="16"/>
      <c r="B157" s="67" t="s">
        <v>166</v>
      </c>
      <c r="C157" s="66" t="s">
        <v>167</v>
      </c>
    </row>
    <row r="158" spans="1:3" x14ac:dyDescent="0.25">
      <c r="A158" s="16"/>
      <c r="B158" s="67" t="s">
        <v>168</v>
      </c>
      <c r="C158" s="66" t="s">
        <v>169</v>
      </c>
    </row>
    <row r="159" spans="1:3" x14ac:dyDescent="0.25">
      <c r="A159" s="16"/>
      <c r="B159" s="67" t="s">
        <v>170</v>
      </c>
      <c r="C159" s="66" t="s">
        <v>171</v>
      </c>
    </row>
    <row r="160" spans="1:3" x14ac:dyDescent="0.25">
      <c r="A160" s="16"/>
      <c r="B160" s="67" t="s">
        <v>172</v>
      </c>
      <c r="C160" s="66" t="s">
        <v>173</v>
      </c>
    </row>
    <row r="161" spans="1:3" x14ac:dyDescent="0.25">
      <c r="A161" s="16"/>
      <c r="B161" s="67" t="s">
        <v>174</v>
      </c>
      <c r="C161" s="66" t="s">
        <v>175</v>
      </c>
    </row>
    <row r="162" spans="1:3" x14ac:dyDescent="0.25">
      <c r="A162" s="16"/>
      <c r="B162" s="67" t="s">
        <v>390</v>
      </c>
      <c r="C162" s="66" t="s">
        <v>399</v>
      </c>
    </row>
    <row r="163" spans="1:3" x14ac:dyDescent="0.25">
      <c r="A163" s="16"/>
      <c r="B163" s="132" t="s">
        <v>388</v>
      </c>
      <c r="C163" s="66" t="s">
        <v>395</v>
      </c>
    </row>
    <row r="164" spans="1:3" x14ac:dyDescent="0.25">
      <c r="A164" s="16"/>
      <c r="B164" s="132" t="s">
        <v>392</v>
      </c>
      <c r="C164" s="66" t="s">
        <v>396</v>
      </c>
    </row>
    <row r="165" spans="1:3" x14ac:dyDescent="0.25">
      <c r="A165" s="16"/>
      <c r="B165" s="132" t="s">
        <v>397</v>
      </c>
      <c r="C165" s="66" t="s">
        <v>398</v>
      </c>
    </row>
    <row r="166" spans="1:3" x14ac:dyDescent="0.25">
      <c r="A166" s="16"/>
      <c r="B166" s="67" t="s">
        <v>178</v>
      </c>
      <c r="C166" s="66" t="s">
        <v>331</v>
      </c>
    </row>
    <row r="168" spans="1:3" x14ac:dyDescent="0.25">
      <c r="A168" s="16"/>
      <c r="B168" s="22" t="s">
        <v>243</v>
      </c>
      <c r="C168" s="77" t="s">
        <v>244</v>
      </c>
    </row>
    <row r="169" spans="1:3" x14ac:dyDescent="0.25">
      <c r="A169" s="16"/>
      <c r="B169" s="21" t="s">
        <v>245</v>
      </c>
      <c r="C169" s="77" t="s">
        <v>125</v>
      </c>
    </row>
    <row r="170" spans="1:3" x14ac:dyDescent="0.25">
      <c r="A170" s="16"/>
      <c r="B170" s="21" t="s">
        <v>246</v>
      </c>
      <c r="C170" s="77" t="s">
        <v>247</v>
      </c>
    </row>
    <row r="171" spans="1:3" x14ac:dyDescent="0.25">
      <c r="A171" s="16"/>
      <c r="B171" s="22" t="s">
        <v>248</v>
      </c>
      <c r="C171" s="77" t="s">
        <v>249</v>
      </c>
    </row>
    <row r="172" spans="1:3" x14ac:dyDescent="0.25">
      <c r="A172" s="16"/>
      <c r="B172" s="21" t="s">
        <v>250</v>
      </c>
      <c r="C172" s="77" t="s">
        <v>251</v>
      </c>
    </row>
    <row r="173" spans="1:3" x14ac:dyDescent="0.25">
      <c r="A173" s="16"/>
      <c r="B173" s="21" t="s">
        <v>252</v>
      </c>
      <c r="C173" s="77" t="s">
        <v>253</v>
      </c>
    </row>
    <row r="174" spans="1:3" ht="25.5" x14ac:dyDescent="0.25">
      <c r="A174" s="16"/>
      <c r="B174" s="21" t="s">
        <v>367</v>
      </c>
      <c r="C174" s="78" t="s">
        <v>255</v>
      </c>
    </row>
    <row r="175" spans="1:3" ht="25.5" x14ac:dyDescent="0.25">
      <c r="A175" s="16"/>
      <c r="B175" s="21" t="s">
        <v>368</v>
      </c>
      <c r="C175" s="78" t="s">
        <v>369</v>
      </c>
    </row>
    <row r="176" spans="1:3" ht="25.5" x14ac:dyDescent="0.25">
      <c r="A176" s="16"/>
      <c r="B176" s="21" t="s">
        <v>370</v>
      </c>
      <c r="C176" s="78" t="s">
        <v>371</v>
      </c>
    </row>
    <row r="177" spans="1:3" ht="25.5" x14ac:dyDescent="0.25">
      <c r="A177" s="16"/>
      <c r="B177" s="21" t="s">
        <v>372</v>
      </c>
      <c r="C177" s="78" t="s">
        <v>373</v>
      </c>
    </row>
    <row r="178" spans="1:3" x14ac:dyDescent="0.25">
      <c r="A178" s="16"/>
      <c r="B178" s="21" t="s">
        <v>258</v>
      </c>
      <c r="C178" s="77" t="s">
        <v>259</v>
      </c>
    </row>
    <row r="179" spans="1:3" x14ac:dyDescent="0.25">
      <c r="A179" s="16"/>
      <c r="B179" s="21" t="s">
        <v>260</v>
      </c>
      <c r="C179" s="77" t="s">
        <v>295</v>
      </c>
    </row>
    <row r="180" spans="1:3" x14ac:dyDescent="0.25">
      <c r="B180" s="67"/>
      <c r="C180" s="66"/>
    </row>
  </sheetData>
  <mergeCells count="5">
    <mergeCell ref="B1:G1"/>
    <mergeCell ref="B2:G2"/>
    <mergeCell ref="B3:G3"/>
    <mergeCell ref="B4:G4"/>
    <mergeCell ref="B5:G5"/>
  </mergeCells>
  <phoneticPr fontId="21" type="noConversion"/>
  <pageMargins left="0.25" right="0.25" top="0.75" bottom="0.75" header="0.3" footer="0.3"/>
  <pageSetup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view="pageBreakPreview" topLeftCell="A8" zoomScale="85" zoomScaleNormal="80" zoomScaleSheetLayoutView="85" workbookViewId="0">
      <selection activeCell="D43" sqref="D43"/>
    </sheetView>
  </sheetViews>
  <sheetFormatPr defaultRowHeight="15" x14ac:dyDescent="0.25"/>
  <cols>
    <col min="1" max="1" width="6.28515625" style="3" bestFit="1" customWidth="1"/>
    <col min="2" max="2" width="17.5703125" customWidth="1"/>
    <col min="3" max="3" width="95.85546875" customWidth="1"/>
    <col min="4" max="4" width="9.85546875" style="2" customWidth="1"/>
    <col min="5" max="5" width="6.42578125" style="3" bestFit="1" customWidth="1"/>
    <col min="6" max="6" width="18.42578125" style="1" customWidth="1"/>
    <col min="7" max="7" width="17.7109375" style="1" customWidth="1"/>
    <col min="8" max="8" width="7" customWidth="1"/>
    <col min="9" max="9" width="11.85546875" customWidth="1"/>
    <col min="10" max="10" width="12.5703125" bestFit="1" customWidth="1"/>
    <col min="13" max="13" width="16.5703125" customWidth="1"/>
    <col min="14" max="14" width="19.140625" customWidth="1"/>
  </cols>
  <sheetData>
    <row r="1" spans="1:14" ht="18.75" x14ac:dyDescent="0.3">
      <c r="B1" s="219" t="s">
        <v>11</v>
      </c>
      <c r="C1" s="219"/>
      <c r="D1" s="219"/>
      <c r="E1" s="219"/>
      <c r="F1" s="219"/>
      <c r="G1" s="219"/>
    </row>
    <row r="2" spans="1:14" ht="18.75" x14ac:dyDescent="0.3">
      <c r="B2" s="219" t="s">
        <v>13</v>
      </c>
      <c r="C2" s="220"/>
      <c r="D2" s="220"/>
      <c r="E2" s="220"/>
      <c r="F2" s="220"/>
      <c r="G2" s="220"/>
    </row>
    <row r="3" spans="1:14" ht="18.75" x14ac:dyDescent="0.3">
      <c r="B3" s="219" t="s">
        <v>17</v>
      </c>
      <c r="C3" s="219"/>
      <c r="D3" s="219"/>
      <c r="E3" s="219"/>
      <c r="F3" s="219"/>
      <c r="G3" s="219"/>
    </row>
    <row r="4" spans="1:14" ht="18.75" x14ac:dyDescent="0.3">
      <c r="B4" s="219" t="s">
        <v>5</v>
      </c>
      <c r="C4" s="219"/>
      <c r="D4" s="219"/>
      <c r="E4" s="219"/>
      <c r="F4" s="219"/>
      <c r="G4" s="219"/>
    </row>
    <row r="5" spans="1:14" ht="19.5" thickBot="1" x14ac:dyDescent="0.35">
      <c r="B5" s="219" t="s">
        <v>328</v>
      </c>
      <c r="C5" s="219"/>
      <c r="D5" s="219"/>
      <c r="E5" s="219"/>
      <c r="F5" s="219"/>
      <c r="G5" s="219"/>
    </row>
    <row r="6" spans="1:14" x14ac:dyDescent="0.25">
      <c r="A6" s="10" t="s">
        <v>10</v>
      </c>
      <c r="B6" s="24" t="s">
        <v>8</v>
      </c>
      <c r="C6" s="24" t="s">
        <v>9</v>
      </c>
      <c r="D6" s="10" t="s">
        <v>4</v>
      </c>
      <c r="E6" s="10" t="s">
        <v>0</v>
      </c>
      <c r="F6" s="25" t="s">
        <v>6</v>
      </c>
      <c r="G6" s="25" t="s">
        <v>7</v>
      </c>
      <c r="I6" s="30"/>
      <c r="J6" s="30"/>
    </row>
    <row r="7" spans="1:14" x14ac:dyDescent="0.25">
      <c r="A7" s="16"/>
      <c r="B7" s="21" t="s">
        <v>18</v>
      </c>
      <c r="C7" s="7" t="s">
        <v>19</v>
      </c>
      <c r="D7" s="44">
        <v>1</v>
      </c>
      <c r="E7" s="16" t="s">
        <v>66</v>
      </c>
      <c r="F7" s="23">
        <f>J7</f>
        <v>0</v>
      </c>
      <c r="G7" s="18">
        <f>F7*D7</f>
        <v>0</v>
      </c>
      <c r="I7" s="39"/>
      <c r="J7" s="29"/>
      <c r="M7" s="42"/>
      <c r="N7" s="38"/>
    </row>
    <row r="8" spans="1:14" x14ac:dyDescent="0.25">
      <c r="A8" s="16"/>
      <c r="B8" s="21" t="s">
        <v>20</v>
      </c>
      <c r="C8" s="7" t="s">
        <v>21</v>
      </c>
      <c r="D8" s="50"/>
      <c r="E8" s="16" t="s">
        <v>22</v>
      </c>
      <c r="F8" s="23">
        <f t="shared" ref="F8:F41" si="0">J8</f>
        <v>0</v>
      </c>
      <c r="G8" s="18">
        <f>F8*D8</f>
        <v>0</v>
      </c>
      <c r="I8" s="29"/>
      <c r="J8" s="29"/>
      <c r="M8" s="42"/>
      <c r="N8" s="38"/>
    </row>
    <row r="9" spans="1:14" x14ac:dyDescent="0.25">
      <c r="A9" s="16"/>
      <c r="B9" s="21" t="s">
        <v>23</v>
      </c>
      <c r="C9" s="7" t="s">
        <v>24</v>
      </c>
      <c r="D9" s="45"/>
      <c r="E9" s="16" t="s">
        <v>2</v>
      </c>
      <c r="F9" s="23">
        <f t="shared" si="0"/>
        <v>0</v>
      </c>
      <c r="G9" s="18">
        <f t="shared" ref="G9" si="1">F9*D9</f>
        <v>0</v>
      </c>
      <c r="I9" s="29"/>
      <c r="J9" s="29"/>
      <c r="M9" s="42"/>
      <c r="N9" s="38"/>
    </row>
    <row r="10" spans="1:14" x14ac:dyDescent="0.25">
      <c r="A10" s="16"/>
      <c r="B10" s="21" t="s">
        <v>313</v>
      </c>
      <c r="C10" s="7" t="s">
        <v>315</v>
      </c>
      <c r="D10" s="45"/>
      <c r="E10" s="16" t="s">
        <v>12</v>
      </c>
      <c r="F10" s="23">
        <f>J10</f>
        <v>0</v>
      </c>
      <c r="G10" s="18"/>
      <c r="I10" s="29"/>
      <c r="J10" s="29"/>
      <c r="M10" s="42"/>
      <c r="N10" s="38"/>
    </row>
    <row r="11" spans="1:14" x14ac:dyDescent="0.25">
      <c r="A11" s="16"/>
      <c r="B11" s="21" t="s">
        <v>25</v>
      </c>
      <c r="C11" s="7" t="s">
        <v>26</v>
      </c>
      <c r="D11" s="44"/>
      <c r="E11" s="16" t="s">
        <v>14</v>
      </c>
      <c r="F11" s="23">
        <f t="shared" si="0"/>
        <v>0</v>
      </c>
      <c r="G11" s="18">
        <f t="shared" ref="G11" si="2">F11*D11</f>
        <v>0</v>
      </c>
      <c r="I11" s="29"/>
      <c r="J11" s="29"/>
      <c r="M11" s="42"/>
      <c r="N11" s="38"/>
    </row>
    <row r="12" spans="1:14" x14ac:dyDescent="0.25">
      <c r="A12" s="16"/>
      <c r="B12" s="21" t="s">
        <v>27</v>
      </c>
      <c r="C12" s="7" t="s">
        <v>28</v>
      </c>
      <c r="D12" s="44"/>
      <c r="E12" s="16" t="s">
        <v>14</v>
      </c>
      <c r="F12" s="23">
        <f t="shared" si="0"/>
        <v>0</v>
      </c>
      <c r="G12" s="18">
        <f t="shared" ref="G12:G16" si="3">F12*D12</f>
        <v>0</v>
      </c>
      <c r="I12" s="29"/>
      <c r="J12" s="29"/>
      <c r="M12" s="42"/>
      <c r="N12" s="38"/>
    </row>
    <row r="13" spans="1:14" x14ac:dyDescent="0.25">
      <c r="A13" s="16"/>
      <c r="B13" s="21" t="s">
        <v>29</v>
      </c>
      <c r="C13" s="7" t="s">
        <v>30</v>
      </c>
      <c r="D13" s="44"/>
      <c r="E13" s="16" t="s">
        <v>14</v>
      </c>
      <c r="F13" s="23">
        <f t="shared" si="0"/>
        <v>0</v>
      </c>
      <c r="G13" s="18">
        <f t="shared" si="3"/>
        <v>0</v>
      </c>
      <c r="I13" s="29"/>
      <c r="J13" s="29"/>
      <c r="M13" s="42"/>
      <c r="N13" s="38"/>
    </row>
    <row r="14" spans="1:14" x14ac:dyDescent="0.25">
      <c r="A14" s="16"/>
      <c r="B14" s="21" t="s">
        <v>31</v>
      </c>
      <c r="C14" s="7" t="s">
        <v>32</v>
      </c>
      <c r="D14" s="45"/>
      <c r="E14" s="16" t="s">
        <v>2</v>
      </c>
      <c r="F14" s="23">
        <f t="shared" si="0"/>
        <v>0</v>
      </c>
      <c r="G14" s="18">
        <f t="shared" si="3"/>
        <v>0</v>
      </c>
      <c r="I14" s="29"/>
      <c r="J14" s="29"/>
      <c r="M14" s="42"/>
      <c r="N14" s="38"/>
    </row>
    <row r="15" spans="1:14" x14ac:dyDescent="0.25">
      <c r="A15" s="16"/>
      <c r="B15" s="22">
        <v>285709</v>
      </c>
      <c r="C15" s="20" t="s">
        <v>33</v>
      </c>
      <c r="D15" s="45"/>
      <c r="E15" s="19" t="s">
        <v>2</v>
      </c>
      <c r="F15" s="23">
        <f t="shared" si="0"/>
        <v>0</v>
      </c>
      <c r="G15" s="18">
        <f t="shared" si="3"/>
        <v>0</v>
      </c>
      <c r="I15" s="29"/>
      <c r="J15" s="29"/>
      <c r="M15" s="42"/>
      <c r="N15" s="38"/>
    </row>
    <row r="16" spans="1:14" x14ac:dyDescent="0.25">
      <c r="A16" s="16"/>
      <c r="B16" s="21">
        <v>285701</v>
      </c>
      <c r="C16" s="7" t="s">
        <v>34</v>
      </c>
      <c r="D16" s="45"/>
      <c r="E16" s="16" t="s">
        <v>2</v>
      </c>
      <c r="F16" s="23">
        <f t="shared" si="0"/>
        <v>0</v>
      </c>
      <c r="G16" s="18">
        <f t="shared" si="3"/>
        <v>0</v>
      </c>
      <c r="I16" s="29"/>
      <c r="J16" s="29"/>
      <c r="M16" s="42"/>
      <c r="N16" s="38"/>
    </row>
    <row r="17" spans="1:14" x14ac:dyDescent="0.25">
      <c r="A17" s="16"/>
      <c r="B17" s="22" t="s">
        <v>110</v>
      </c>
      <c r="C17" s="20" t="s">
        <v>111</v>
      </c>
      <c r="D17" s="49"/>
      <c r="E17" s="19" t="s">
        <v>2</v>
      </c>
      <c r="F17" s="23">
        <f t="shared" si="0"/>
        <v>0</v>
      </c>
      <c r="G17" s="18">
        <f t="shared" ref="G17" si="4">F17*D17</f>
        <v>0</v>
      </c>
      <c r="I17" s="29"/>
      <c r="J17" s="29"/>
      <c r="M17" s="42"/>
      <c r="N17" s="38"/>
    </row>
    <row r="18" spans="1:14" x14ac:dyDescent="0.25">
      <c r="A18" s="16"/>
      <c r="B18" s="22" t="s">
        <v>302</v>
      </c>
      <c r="C18" s="20" t="s">
        <v>303</v>
      </c>
      <c r="D18" s="49"/>
      <c r="E18" s="19" t="s">
        <v>2</v>
      </c>
      <c r="F18" s="23">
        <f>I18</f>
        <v>0</v>
      </c>
      <c r="G18" s="18">
        <f t="shared" ref="G18" si="5">F18*D18</f>
        <v>0</v>
      </c>
      <c r="I18" s="29"/>
      <c r="M18" s="42"/>
      <c r="N18" s="38"/>
    </row>
    <row r="19" spans="1:14" x14ac:dyDescent="0.25">
      <c r="A19" s="16"/>
      <c r="B19" s="21" t="s">
        <v>35</v>
      </c>
      <c r="C19" s="7" t="s">
        <v>279</v>
      </c>
      <c r="D19" s="44"/>
      <c r="E19" s="48" t="s">
        <v>3</v>
      </c>
      <c r="F19" s="23">
        <f t="shared" si="0"/>
        <v>0</v>
      </c>
      <c r="G19" s="18">
        <f t="shared" ref="G19:G68" si="6">F19*D19</f>
        <v>0</v>
      </c>
      <c r="I19" s="29"/>
      <c r="J19" s="29"/>
      <c r="M19" s="42"/>
      <c r="N19" s="38"/>
    </row>
    <row r="20" spans="1:14" x14ac:dyDescent="0.25">
      <c r="A20" s="16"/>
      <c r="B20" s="21" t="s">
        <v>35</v>
      </c>
      <c r="C20" s="7" t="s">
        <v>280</v>
      </c>
      <c r="D20" s="44"/>
      <c r="E20" s="48" t="s">
        <v>3</v>
      </c>
      <c r="F20" s="23">
        <f t="shared" si="0"/>
        <v>0</v>
      </c>
      <c r="G20" s="18">
        <f t="shared" si="6"/>
        <v>0</v>
      </c>
      <c r="I20" s="29"/>
      <c r="J20" s="29"/>
      <c r="M20" s="42"/>
      <c r="N20" s="38"/>
    </row>
    <row r="21" spans="1:14" x14ac:dyDescent="0.25">
      <c r="A21" s="16"/>
      <c r="B21" s="21" t="s">
        <v>35</v>
      </c>
      <c r="C21" s="7" t="s">
        <v>281</v>
      </c>
      <c r="D21" s="44"/>
      <c r="E21" s="48" t="s">
        <v>3</v>
      </c>
      <c r="F21" s="23">
        <f t="shared" si="0"/>
        <v>0</v>
      </c>
      <c r="G21" s="18">
        <f t="shared" si="6"/>
        <v>0</v>
      </c>
      <c r="I21" s="29"/>
      <c r="J21" s="29"/>
      <c r="M21" s="42"/>
      <c r="N21" s="38"/>
    </row>
    <row r="22" spans="1:14" x14ac:dyDescent="0.25">
      <c r="A22" s="16"/>
      <c r="B22" s="21" t="s">
        <v>35</v>
      </c>
      <c r="C22" s="7" t="s">
        <v>282</v>
      </c>
      <c r="D22" s="44"/>
      <c r="E22" s="48" t="s">
        <v>3</v>
      </c>
      <c r="F22" s="23">
        <f t="shared" si="0"/>
        <v>0</v>
      </c>
      <c r="G22" s="18">
        <f t="shared" si="6"/>
        <v>0</v>
      </c>
      <c r="I22" s="29"/>
      <c r="J22" s="29"/>
      <c r="M22" s="42"/>
      <c r="N22" s="38"/>
    </row>
    <row r="23" spans="1:14" x14ac:dyDescent="0.25">
      <c r="A23" s="16"/>
      <c r="B23" s="21" t="s">
        <v>36</v>
      </c>
      <c r="C23" s="7" t="s">
        <v>37</v>
      </c>
      <c r="D23" s="44"/>
      <c r="E23" s="16" t="s">
        <v>14</v>
      </c>
      <c r="F23" s="23">
        <f t="shared" si="0"/>
        <v>0</v>
      </c>
      <c r="G23" s="18">
        <f t="shared" si="6"/>
        <v>0</v>
      </c>
      <c r="I23" s="29"/>
      <c r="J23" s="29"/>
      <c r="M23" s="42"/>
      <c r="N23" s="38"/>
    </row>
    <row r="24" spans="1:14" x14ac:dyDescent="0.25">
      <c r="A24" s="16"/>
      <c r="B24" s="21" t="s">
        <v>38</v>
      </c>
      <c r="C24" s="7" t="s">
        <v>39</v>
      </c>
      <c r="D24" s="44"/>
      <c r="E24" s="16" t="s">
        <v>14</v>
      </c>
      <c r="F24" s="23">
        <f t="shared" si="0"/>
        <v>0</v>
      </c>
      <c r="G24" s="18">
        <f t="shared" si="6"/>
        <v>0</v>
      </c>
      <c r="I24" s="29"/>
      <c r="J24" s="29"/>
      <c r="M24" s="42"/>
      <c r="N24" s="38"/>
    </row>
    <row r="25" spans="1:14" x14ac:dyDescent="0.25">
      <c r="A25" s="16"/>
      <c r="B25" s="21" t="s">
        <v>40</v>
      </c>
      <c r="C25" s="7" t="s">
        <v>41</v>
      </c>
      <c r="D25" s="46"/>
      <c r="E25" s="16" t="s">
        <v>42</v>
      </c>
      <c r="F25" s="23">
        <f t="shared" si="0"/>
        <v>0</v>
      </c>
      <c r="G25" s="18">
        <f t="shared" ref="G25" si="7">F25*D25</f>
        <v>0</v>
      </c>
      <c r="I25" s="29"/>
      <c r="J25" s="29"/>
      <c r="M25" s="42"/>
      <c r="N25" s="38"/>
    </row>
    <row r="26" spans="1:14" x14ac:dyDescent="0.25">
      <c r="A26" s="16"/>
      <c r="B26" s="21" t="s">
        <v>43</v>
      </c>
      <c r="C26" s="7" t="s">
        <v>44</v>
      </c>
      <c r="D26" s="46"/>
      <c r="E26" s="16" t="s">
        <v>45</v>
      </c>
      <c r="F26" s="23">
        <f t="shared" si="0"/>
        <v>0</v>
      </c>
      <c r="G26" s="18">
        <f t="shared" ref="G26" si="8">F26*D26</f>
        <v>0</v>
      </c>
      <c r="I26" s="29"/>
      <c r="J26" s="29"/>
      <c r="M26" s="42"/>
      <c r="N26" s="38"/>
    </row>
    <row r="27" spans="1:14" x14ac:dyDescent="0.25">
      <c r="A27" s="16"/>
      <c r="B27" s="21" t="s">
        <v>46</v>
      </c>
      <c r="C27" s="7" t="s">
        <v>47</v>
      </c>
      <c r="D27" s="17"/>
      <c r="E27" s="16" t="s">
        <v>1</v>
      </c>
      <c r="F27" s="23">
        <f t="shared" si="0"/>
        <v>0</v>
      </c>
      <c r="G27" s="18">
        <f t="shared" si="6"/>
        <v>0</v>
      </c>
      <c r="I27" s="29"/>
      <c r="J27" s="29"/>
      <c r="M27" s="42"/>
      <c r="N27" s="38"/>
    </row>
    <row r="28" spans="1:14" x14ac:dyDescent="0.25">
      <c r="A28" s="16"/>
      <c r="B28" s="21" t="s">
        <v>48</v>
      </c>
      <c r="C28" s="7" t="s">
        <v>49</v>
      </c>
      <c r="D28" s="17"/>
      <c r="E28" s="16" t="s">
        <v>1</v>
      </c>
      <c r="F28" s="23">
        <f t="shared" si="0"/>
        <v>0</v>
      </c>
      <c r="G28" s="18">
        <f t="shared" si="6"/>
        <v>0</v>
      </c>
      <c r="I28" s="29"/>
      <c r="J28" s="29"/>
      <c r="M28" s="42"/>
      <c r="N28" s="38"/>
    </row>
    <row r="29" spans="1:14" x14ac:dyDescent="0.25">
      <c r="A29" s="16"/>
      <c r="B29" s="21" t="s">
        <v>50</v>
      </c>
      <c r="C29" s="7" t="s">
        <v>51</v>
      </c>
      <c r="D29" s="17"/>
      <c r="E29" s="16" t="s">
        <v>1</v>
      </c>
      <c r="F29" s="23">
        <f>I29</f>
        <v>0</v>
      </c>
      <c r="G29" s="18">
        <f t="shared" si="6"/>
        <v>0</v>
      </c>
      <c r="I29" s="29"/>
      <c r="J29" s="29"/>
      <c r="M29" s="42"/>
      <c r="N29" s="38"/>
    </row>
    <row r="30" spans="1:14" x14ac:dyDescent="0.25">
      <c r="A30" s="16"/>
      <c r="B30" s="21" t="s">
        <v>52</v>
      </c>
      <c r="C30" s="7" t="s">
        <v>53</v>
      </c>
      <c r="D30" s="17"/>
      <c r="E30" s="16" t="s">
        <v>1</v>
      </c>
      <c r="F30" s="23">
        <f>I30</f>
        <v>0</v>
      </c>
      <c r="G30" s="18">
        <f t="shared" si="6"/>
        <v>0</v>
      </c>
      <c r="I30" s="29"/>
      <c r="J30" s="29"/>
      <c r="M30" s="42"/>
      <c r="N30" s="38"/>
    </row>
    <row r="31" spans="1:14" x14ac:dyDescent="0.25">
      <c r="A31" s="16"/>
      <c r="B31" s="21" t="s">
        <v>54</v>
      </c>
      <c r="C31" s="7" t="s">
        <v>55</v>
      </c>
      <c r="D31" s="17"/>
      <c r="E31" s="16" t="s">
        <v>1</v>
      </c>
      <c r="F31" s="23">
        <f t="shared" si="0"/>
        <v>0</v>
      </c>
      <c r="G31" s="18">
        <f t="shared" si="6"/>
        <v>0</v>
      </c>
      <c r="I31" s="29"/>
      <c r="J31" s="29"/>
      <c r="M31" s="42"/>
      <c r="N31" s="38"/>
    </row>
    <row r="32" spans="1:14" x14ac:dyDescent="0.25">
      <c r="A32" s="16"/>
      <c r="B32" s="21" t="s">
        <v>56</v>
      </c>
      <c r="C32" s="7" t="s">
        <v>57</v>
      </c>
      <c r="D32" s="17"/>
      <c r="E32" s="16" t="s">
        <v>2</v>
      </c>
      <c r="F32" s="23">
        <f t="shared" si="0"/>
        <v>0</v>
      </c>
      <c r="G32" s="18">
        <f t="shared" ref="G32" si="9">F32*D32</f>
        <v>0</v>
      </c>
      <c r="I32" s="29"/>
      <c r="J32" s="29"/>
      <c r="M32" s="42"/>
      <c r="N32" s="38"/>
    </row>
    <row r="33" spans="1:14" x14ac:dyDescent="0.25">
      <c r="A33" s="16"/>
      <c r="B33" s="21" t="s">
        <v>58</v>
      </c>
      <c r="C33" s="7" t="s">
        <v>59</v>
      </c>
      <c r="D33" s="17"/>
      <c r="E33" s="16" t="s">
        <v>2</v>
      </c>
      <c r="F33" s="23">
        <f t="shared" si="0"/>
        <v>0</v>
      </c>
      <c r="G33" s="18">
        <f t="shared" si="6"/>
        <v>0</v>
      </c>
      <c r="I33" s="29"/>
      <c r="J33" s="29"/>
      <c r="M33" s="42"/>
      <c r="N33" s="38"/>
    </row>
    <row r="34" spans="1:14" x14ac:dyDescent="0.25">
      <c r="A34" s="16"/>
      <c r="B34" s="21" t="s">
        <v>60</v>
      </c>
      <c r="C34" s="7" t="s">
        <v>61</v>
      </c>
      <c r="D34" s="17"/>
      <c r="E34" s="16" t="s">
        <v>45</v>
      </c>
      <c r="F34" s="23">
        <f t="shared" si="0"/>
        <v>0</v>
      </c>
      <c r="G34" s="18">
        <f t="shared" si="6"/>
        <v>0</v>
      </c>
      <c r="I34" s="29"/>
      <c r="J34" s="29"/>
      <c r="M34" s="42"/>
      <c r="N34" s="38"/>
    </row>
    <row r="35" spans="1:14" x14ac:dyDescent="0.25">
      <c r="A35" s="16"/>
      <c r="B35" s="21" t="s">
        <v>316</v>
      </c>
      <c r="C35" s="7" t="s">
        <v>319</v>
      </c>
      <c r="D35" s="17"/>
      <c r="E35" s="16" t="s">
        <v>1</v>
      </c>
      <c r="F35" s="23">
        <f>I35</f>
        <v>0</v>
      </c>
      <c r="G35" s="18">
        <f t="shared" si="6"/>
        <v>0</v>
      </c>
      <c r="I35" s="29"/>
      <c r="J35" s="29"/>
      <c r="M35" s="42"/>
      <c r="N35" s="38"/>
    </row>
    <row r="36" spans="1:14" x14ac:dyDescent="0.25">
      <c r="A36" s="16"/>
      <c r="B36" s="21" t="s">
        <v>317</v>
      </c>
      <c r="C36" s="7" t="s">
        <v>320</v>
      </c>
      <c r="D36" s="17"/>
      <c r="E36" s="16" t="s">
        <v>12</v>
      </c>
      <c r="F36" s="23">
        <f t="shared" si="0"/>
        <v>0</v>
      </c>
      <c r="G36" s="18">
        <f t="shared" si="6"/>
        <v>0</v>
      </c>
      <c r="I36" s="29"/>
      <c r="J36" s="29"/>
      <c r="M36" s="42"/>
      <c r="N36" s="38"/>
    </row>
    <row r="37" spans="1:14" x14ac:dyDescent="0.25">
      <c r="A37" s="16"/>
      <c r="B37" s="21" t="s">
        <v>318</v>
      </c>
      <c r="C37" s="7" t="s">
        <v>321</v>
      </c>
      <c r="D37" s="17"/>
      <c r="E37" s="16" t="s">
        <v>12</v>
      </c>
      <c r="F37" s="23">
        <f t="shared" si="0"/>
        <v>0</v>
      </c>
      <c r="G37" s="18">
        <f t="shared" si="6"/>
        <v>0</v>
      </c>
      <c r="I37" s="29"/>
      <c r="J37" s="29"/>
      <c r="M37" s="42"/>
      <c r="N37" s="38"/>
    </row>
    <row r="38" spans="1:14" x14ac:dyDescent="0.25">
      <c r="A38" s="16"/>
      <c r="B38" s="21" t="s">
        <v>298</v>
      </c>
      <c r="C38" s="105" t="s">
        <v>301</v>
      </c>
      <c r="D38" s="21"/>
      <c r="E38" s="21" t="s">
        <v>1</v>
      </c>
      <c r="F38" s="23">
        <f>I38</f>
        <v>0</v>
      </c>
      <c r="G38" s="18">
        <f t="shared" si="6"/>
        <v>0</v>
      </c>
      <c r="I38" s="106"/>
      <c r="J38" s="29"/>
      <c r="L38" s="97"/>
    </row>
    <row r="39" spans="1:14" x14ac:dyDescent="0.25">
      <c r="A39" s="16"/>
      <c r="B39" s="21" t="s">
        <v>299</v>
      </c>
      <c r="C39" s="105" t="s">
        <v>300</v>
      </c>
      <c r="D39" s="21"/>
      <c r="E39" s="21" t="s">
        <v>12</v>
      </c>
      <c r="F39" s="23">
        <f>I39</f>
        <v>0</v>
      </c>
      <c r="G39" s="18">
        <f t="shared" si="6"/>
        <v>0</v>
      </c>
      <c r="I39" s="106"/>
      <c r="J39" s="29"/>
      <c r="L39" s="97"/>
    </row>
    <row r="40" spans="1:14" x14ac:dyDescent="0.25">
      <c r="A40" s="16"/>
      <c r="B40" s="21" t="s">
        <v>62</v>
      </c>
      <c r="C40" s="7" t="s">
        <v>63</v>
      </c>
      <c r="D40" s="17"/>
      <c r="E40" s="16" t="s">
        <v>2</v>
      </c>
      <c r="F40" s="23">
        <f t="shared" si="0"/>
        <v>0</v>
      </c>
      <c r="G40" s="18">
        <f t="shared" si="6"/>
        <v>0</v>
      </c>
      <c r="I40" s="29"/>
      <c r="J40" s="29"/>
      <c r="M40" s="42"/>
      <c r="N40" s="38"/>
    </row>
    <row r="41" spans="1:14" x14ac:dyDescent="0.25">
      <c r="A41" s="16"/>
      <c r="B41" s="21" t="s">
        <v>64</v>
      </c>
      <c r="C41" s="7" t="s">
        <v>65</v>
      </c>
      <c r="D41" s="17">
        <v>1</v>
      </c>
      <c r="E41" s="16" t="s">
        <v>66</v>
      </c>
      <c r="F41" s="23">
        <f t="shared" si="0"/>
        <v>0</v>
      </c>
      <c r="G41" s="18">
        <f t="shared" si="6"/>
        <v>0</v>
      </c>
      <c r="I41" s="29"/>
      <c r="J41" s="29"/>
      <c r="M41" s="42"/>
      <c r="N41" s="38"/>
    </row>
    <row r="42" spans="1:14" x14ac:dyDescent="0.25">
      <c r="A42" s="16"/>
      <c r="B42" s="32"/>
      <c r="C42" s="33"/>
      <c r="D42" s="34"/>
      <c r="E42" s="35"/>
      <c r="F42" s="36"/>
      <c r="G42" s="37"/>
      <c r="I42" s="29"/>
      <c r="J42" s="29"/>
      <c r="M42" s="42"/>
      <c r="N42" s="38"/>
    </row>
    <row r="43" spans="1:14" x14ac:dyDescent="0.25">
      <c r="A43" s="16"/>
      <c r="B43" s="21" t="s">
        <v>67</v>
      </c>
      <c r="C43" s="7" t="s">
        <v>68</v>
      </c>
      <c r="D43" s="41">
        <v>2.9569999999999999</v>
      </c>
      <c r="E43" s="16" t="s">
        <v>69</v>
      </c>
      <c r="F43" s="26">
        <f>J43</f>
        <v>0</v>
      </c>
      <c r="G43" s="18">
        <f t="shared" si="6"/>
        <v>0</v>
      </c>
      <c r="I43" s="29"/>
      <c r="J43" s="29"/>
      <c r="M43" s="42"/>
      <c r="N43" s="38"/>
    </row>
    <row r="44" spans="1:14" x14ac:dyDescent="0.25">
      <c r="A44" s="16"/>
      <c r="B44" s="21" t="s">
        <v>70</v>
      </c>
      <c r="C44" s="7" t="s">
        <v>71</v>
      </c>
      <c r="D44" s="17">
        <v>1156</v>
      </c>
      <c r="E44" s="16" t="s">
        <v>1</v>
      </c>
      <c r="F44" s="26">
        <f t="shared" ref="F44:F68" si="10">J44</f>
        <v>0</v>
      </c>
      <c r="G44" s="18">
        <f t="shared" ref="G44:G45" si="11">F44*D44</f>
        <v>0</v>
      </c>
      <c r="I44" s="29"/>
      <c r="J44" s="29"/>
      <c r="M44" s="42"/>
      <c r="N44" s="38"/>
    </row>
    <row r="45" spans="1:14" x14ac:dyDescent="0.25">
      <c r="A45" s="16"/>
      <c r="B45" s="21" t="s">
        <v>72</v>
      </c>
      <c r="C45" s="7" t="s">
        <v>73</v>
      </c>
      <c r="D45" s="17">
        <v>471</v>
      </c>
      <c r="E45" s="16" t="s">
        <v>1</v>
      </c>
      <c r="F45" s="26">
        <f t="shared" si="10"/>
        <v>0</v>
      </c>
      <c r="G45" s="18">
        <f t="shared" si="11"/>
        <v>0</v>
      </c>
      <c r="I45" s="29"/>
      <c r="J45" s="29"/>
      <c r="M45" s="42"/>
      <c r="N45" s="38"/>
    </row>
    <row r="46" spans="1:14" x14ac:dyDescent="0.25">
      <c r="A46" s="16"/>
      <c r="B46" s="21" t="s">
        <v>74</v>
      </c>
      <c r="C46" s="7" t="s">
        <v>75</v>
      </c>
      <c r="D46" s="17">
        <v>824</v>
      </c>
      <c r="E46" s="16" t="s">
        <v>1</v>
      </c>
      <c r="F46" s="26">
        <f t="shared" si="10"/>
        <v>0</v>
      </c>
      <c r="G46" s="18">
        <f t="shared" ref="G46" si="12">F46*D46</f>
        <v>0</v>
      </c>
      <c r="I46" s="29"/>
      <c r="J46" s="29"/>
      <c r="M46" s="42"/>
      <c r="N46" s="38"/>
    </row>
    <row r="47" spans="1:14" x14ac:dyDescent="0.25">
      <c r="A47" s="16"/>
      <c r="B47" s="21" t="s">
        <v>76</v>
      </c>
      <c r="C47" s="7" t="s">
        <v>77</v>
      </c>
      <c r="D47" s="41">
        <v>0.35399999999999998</v>
      </c>
      <c r="E47" s="16" t="s">
        <v>69</v>
      </c>
      <c r="F47" s="26">
        <f t="shared" si="10"/>
        <v>0</v>
      </c>
      <c r="G47" s="18">
        <f t="shared" si="6"/>
        <v>0</v>
      </c>
      <c r="I47" s="29"/>
      <c r="J47" s="29"/>
      <c r="M47" s="43"/>
      <c r="N47" s="38"/>
    </row>
    <row r="48" spans="1:14" x14ac:dyDescent="0.25">
      <c r="A48" s="16"/>
      <c r="B48" s="21" t="s">
        <v>78</v>
      </c>
      <c r="C48" s="7" t="s">
        <v>79</v>
      </c>
      <c r="D48" s="17">
        <v>1</v>
      </c>
      <c r="E48" s="16" t="s">
        <v>12</v>
      </c>
      <c r="F48" s="26">
        <f t="shared" si="10"/>
        <v>0</v>
      </c>
      <c r="G48" s="18">
        <f t="shared" si="6"/>
        <v>0</v>
      </c>
      <c r="I48" s="29"/>
      <c r="J48" s="29"/>
      <c r="M48" s="42"/>
      <c r="N48" s="38"/>
    </row>
    <row r="49" spans="1:14" x14ac:dyDescent="0.25">
      <c r="A49" s="16"/>
      <c r="B49" s="21" t="s">
        <v>80</v>
      </c>
      <c r="C49" s="7" t="s">
        <v>81</v>
      </c>
      <c r="D49" s="17">
        <v>59</v>
      </c>
      <c r="E49" s="16" t="s">
        <v>12</v>
      </c>
      <c r="F49" s="26">
        <f t="shared" si="10"/>
        <v>0</v>
      </c>
      <c r="G49" s="18">
        <f t="shared" si="6"/>
        <v>0</v>
      </c>
      <c r="I49" s="29"/>
      <c r="J49" s="29"/>
      <c r="M49" s="42"/>
      <c r="N49" s="38"/>
    </row>
    <row r="50" spans="1:14" x14ac:dyDescent="0.25">
      <c r="A50" s="16"/>
      <c r="B50" s="21" t="s">
        <v>82</v>
      </c>
      <c r="C50" s="7" t="s">
        <v>83</v>
      </c>
      <c r="D50" s="41">
        <v>2.8050000000000002</v>
      </c>
      <c r="E50" s="16" t="s">
        <v>69</v>
      </c>
      <c r="F50" s="26">
        <f t="shared" si="10"/>
        <v>0</v>
      </c>
      <c r="G50" s="18">
        <f t="shared" si="6"/>
        <v>0</v>
      </c>
      <c r="I50" s="29"/>
      <c r="J50" s="29"/>
      <c r="M50" s="42"/>
      <c r="N50" s="38"/>
    </row>
    <row r="51" spans="1:14" x14ac:dyDescent="0.25">
      <c r="A51" s="16"/>
      <c r="B51" s="21" t="s">
        <v>84</v>
      </c>
      <c r="C51" s="7" t="s">
        <v>85</v>
      </c>
      <c r="D51" s="27">
        <v>1776</v>
      </c>
      <c r="E51" s="16" t="s">
        <v>1</v>
      </c>
      <c r="F51" s="26">
        <f t="shared" si="10"/>
        <v>0</v>
      </c>
      <c r="G51" s="18">
        <f t="shared" si="6"/>
        <v>0</v>
      </c>
      <c r="I51" s="29"/>
      <c r="J51" s="29"/>
      <c r="M51" s="42"/>
      <c r="N51" s="38"/>
    </row>
    <row r="52" spans="1:14" x14ac:dyDescent="0.25">
      <c r="A52" s="16"/>
      <c r="B52" s="21" t="s">
        <v>86</v>
      </c>
      <c r="C52" s="7" t="s">
        <v>87</v>
      </c>
      <c r="D52" s="41">
        <v>0.114</v>
      </c>
      <c r="E52" s="16" t="s">
        <v>69</v>
      </c>
      <c r="F52" s="26">
        <f t="shared" si="10"/>
        <v>0</v>
      </c>
      <c r="G52" s="18">
        <f t="shared" si="6"/>
        <v>0</v>
      </c>
      <c r="I52" s="29"/>
      <c r="J52" s="29"/>
      <c r="M52" s="42"/>
      <c r="N52" s="38"/>
    </row>
    <row r="53" spans="1:14" x14ac:dyDescent="0.25">
      <c r="A53" s="16"/>
      <c r="B53" s="21" t="s">
        <v>88</v>
      </c>
      <c r="C53" s="7" t="s">
        <v>89</v>
      </c>
      <c r="D53" s="41">
        <v>7.4999999999999997E-2</v>
      </c>
      <c r="E53" s="16" t="s">
        <v>69</v>
      </c>
      <c r="F53" s="26">
        <f t="shared" si="10"/>
        <v>0</v>
      </c>
      <c r="G53" s="18">
        <f t="shared" si="6"/>
        <v>0</v>
      </c>
      <c r="I53" s="29"/>
      <c r="J53" s="29"/>
      <c r="M53" s="43"/>
      <c r="N53" s="38"/>
    </row>
    <row r="54" spans="1:14" x14ac:dyDescent="0.25">
      <c r="A54" s="16"/>
      <c r="B54" s="21" t="s">
        <v>90</v>
      </c>
      <c r="C54" s="7" t="s">
        <v>91</v>
      </c>
      <c r="D54" s="17">
        <v>66</v>
      </c>
      <c r="E54" s="16" t="s">
        <v>45</v>
      </c>
      <c r="F54" s="26">
        <f t="shared" si="10"/>
        <v>0</v>
      </c>
      <c r="G54" s="18">
        <f t="shared" si="6"/>
        <v>0</v>
      </c>
      <c r="I54" s="29"/>
      <c r="J54" s="29"/>
      <c r="M54" s="42"/>
      <c r="N54" s="38"/>
    </row>
    <row r="55" spans="1:14" x14ac:dyDescent="0.25">
      <c r="A55" s="16"/>
      <c r="B55" s="21" t="s">
        <v>92</v>
      </c>
      <c r="C55" s="7" t="s">
        <v>93</v>
      </c>
      <c r="D55" s="27">
        <v>1</v>
      </c>
      <c r="E55" s="16" t="s">
        <v>66</v>
      </c>
      <c r="F55" s="26">
        <f t="shared" si="10"/>
        <v>0</v>
      </c>
      <c r="G55" s="18">
        <f t="shared" si="6"/>
        <v>0</v>
      </c>
      <c r="I55" s="29"/>
      <c r="J55" s="29"/>
      <c r="M55" s="42"/>
      <c r="N55" s="38"/>
    </row>
    <row r="56" spans="1:14" x14ac:dyDescent="0.25">
      <c r="A56" s="16"/>
      <c r="B56" s="21" t="s">
        <v>94</v>
      </c>
      <c r="C56" s="7" t="s">
        <v>95</v>
      </c>
      <c r="D56" s="17">
        <v>29</v>
      </c>
      <c r="E56" s="16" t="s">
        <v>96</v>
      </c>
      <c r="F56" s="26">
        <f t="shared" si="10"/>
        <v>0</v>
      </c>
      <c r="G56" s="18">
        <f t="shared" si="6"/>
        <v>0</v>
      </c>
      <c r="I56" s="29"/>
      <c r="J56" s="29"/>
      <c r="M56" s="42"/>
      <c r="N56" s="38"/>
    </row>
    <row r="57" spans="1:14" x14ac:dyDescent="0.25">
      <c r="A57" s="16"/>
      <c r="B57" s="21" t="s">
        <v>97</v>
      </c>
      <c r="C57" s="7" t="s">
        <v>98</v>
      </c>
      <c r="D57" s="17">
        <v>16</v>
      </c>
      <c r="E57" s="16" t="s">
        <v>96</v>
      </c>
      <c r="F57" s="26">
        <f t="shared" si="10"/>
        <v>0</v>
      </c>
      <c r="G57" s="18">
        <f t="shared" si="6"/>
        <v>0</v>
      </c>
      <c r="I57" s="29"/>
      <c r="J57" s="29"/>
      <c r="M57" s="42"/>
      <c r="N57" s="38"/>
    </row>
    <row r="58" spans="1:14" x14ac:dyDescent="0.25">
      <c r="A58" s="16"/>
      <c r="B58" s="21" t="s">
        <v>99</v>
      </c>
      <c r="C58" s="7" t="s">
        <v>100</v>
      </c>
      <c r="D58" s="17">
        <v>15</v>
      </c>
      <c r="E58" s="16" t="s">
        <v>96</v>
      </c>
      <c r="F58" s="26">
        <f t="shared" si="10"/>
        <v>0</v>
      </c>
      <c r="G58" s="18">
        <f t="shared" si="6"/>
        <v>0</v>
      </c>
      <c r="I58" s="29"/>
      <c r="J58" s="29"/>
      <c r="M58" s="42"/>
      <c r="N58" s="38"/>
    </row>
    <row r="59" spans="1:14" x14ac:dyDescent="0.25">
      <c r="A59" s="16"/>
      <c r="B59" s="21" t="s">
        <v>101</v>
      </c>
      <c r="C59" s="7" t="s">
        <v>102</v>
      </c>
      <c r="D59" s="17">
        <v>4</v>
      </c>
      <c r="E59" s="16" t="s">
        <v>96</v>
      </c>
      <c r="F59" s="26">
        <f t="shared" si="10"/>
        <v>0</v>
      </c>
      <c r="G59" s="18">
        <f t="shared" ref="G59:G60" si="13">F59*D59</f>
        <v>0</v>
      </c>
      <c r="I59" s="29"/>
      <c r="J59" s="29"/>
      <c r="M59" s="42"/>
      <c r="N59" s="38"/>
    </row>
    <row r="60" spans="1:14" x14ac:dyDescent="0.25">
      <c r="A60" s="16"/>
      <c r="B60" s="96" t="s">
        <v>264</v>
      </c>
      <c r="C60" s="7" t="s">
        <v>103</v>
      </c>
      <c r="D60" s="17">
        <v>812</v>
      </c>
      <c r="E60" s="16" t="s">
        <v>12</v>
      </c>
      <c r="F60" s="26">
        <f t="shared" si="10"/>
        <v>0</v>
      </c>
      <c r="G60" s="18">
        <f t="shared" si="13"/>
        <v>0</v>
      </c>
      <c r="I60" s="29"/>
      <c r="J60" s="29"/>
      <c r="M60" s="42"/>
      <c r="N60" s="38"/>
    </row>
    <row r="61" spans="1:14" x14ac:dyDescent="0.25">
      <c r="A61" s="16"/>
      <c r="B61" s="96" t="s">
        <v>264</v>
      </c>
      <c r="C61" s="7" t="s">
        <v>104</v>
      </c>
      <c r="D61" s="17">
        <v>358</v>
      </c>
      <c r="E61" s="16" t="s">
        <v>12</v>
      </c>
      <c r="F61" s="26">
        <f t="shared" si="10"/>
        <v>0</v>
      </c>
      <c r="G61" s="18">
        <f t="shared" si="6"/>
        <v>0</v>
      </c>
      <c r="I61" s="29"/>
      <c r="J61" s="29"/>
      <c r="M61" s="42"/>
      <c r="N61" s="38"/>
    </row>
    <row r="62" spans="1:14" x14ac:dyDescent="0.25">
      <c r="A62" s="16"/>
      <c r="B62" s="96" t="s">
        <v>264</v>
      </c>
      <c r="C62" s="7" t="s">
        <v>105</v>
      </c>
      <c r="D62" s="17">
        <v>88</v>
      </c>
      <c r="E62" s="16" t="s">
        <v>12</v>
      </c>
      <c r="F62" s="26">
        <f t="shared" si="10"/>
        <v>0</v>
      </c>
      <c r="G62" s="18">
        <f t="shared" ref="G62:G67" si="14">F62*D62</f>
        <v>0</v>
      </c>
      <c r="I62" s="29"/>
      <c r="J62" s="29"/>
      <c r="M62" s="42"/>
      <c r="N62" s="38"/>
    </row>
    <row r="63" spans="1:14" x14ac:dyDescent="0.25">
      <c r="A63" s="16"/>
      <c r="B63" s="96" t="s">
        <v>283</v>
      </c>
      <c r="C63" s="7" t="s">
        <v>284</v>
      </c>
      <c r="D63" s="17">
        <v>1156</v>
      </c>
      <c r="E63" s="16" t="s">
        <v>1</v>
      </c>
      <c r="F63" s="26">
        <f t="shared" si="10"/>
        <v>0</v>
      </c>
      <c r="G63" s="18">
        <f t="shared" si="14"/>
        <v>0</v>
      </c>
      <c r="I63" s="29"/>
      <c r="J63" s="29"/>
      <c r="M63" s="42"/>
      <c r="N63" s="38"/>
    </row>
    <row r="64" spans="1:14" x14ac:dyDescent="0.25">
      <c r="A64" s="16"/>
      <c r="B64" s="96" t="s">
        <v>285</v>
      </c>
      <c r="C64" s="7" t="s">
        <v>286</v>
      </c>
      <c r="D64" s="17">
        <v>824</v>
      </c>
      <c r="E64" s="16" t="s">
        <v>1</v>
      </c>
      <c r="F64" s="26">
        <f t="shared" si="10"/>
        <v>0</v>
      </c>
      <c r="G64" s="18">
        <f t="shared" ref="G64:G65" si="15">F64*D64</f>
        <v>0</v>
      </c>
      <c r="I64" s="29"/>
      <c r="J64" s="29"/>
      <c r="M64" s="42"/>
      <c r="N64" s="38"/>
    </row>
    <row r="65" spans="1:14" x14ac:dyDescent="0.25">
      <c r="A65" s="16"/>
      <c r="B65" s="96" t="s">
        <v>287</v>
      </c>
      <c r="C65" s="7" t="s">
        <v>288</v>
      </c>
      <c r="D65" s="41">
        <v>0.35399999999999998</v>
      </c>
      <c r="E65" s="16" t="s">
        <v>69</v>
      </c>
      <c r="F65" s="26">
        <f t="shared" si="10"/>
        <v>0</v>
      </c>
      <c r="G65" s="18">
        <f t="shared" si="15"/>
        <v>0</v>
      </c>
      <c r="I65" s="29"/>
      <c r="J65" s="29"/>
      <c r="M65" s="42"/>
      <c r="N65" s="38"/>
    </row>
    <row r="66" spans="1:14" x14ac:dyDescent="0.25">
      <c r="A66" s="16"/>
      <c r="B66" s="96" t="s">
        <v>289</v>
      </c>
      <c r="C66" s="7" t="s">
        <v>292</v>
      </c>
      <c r="D66" s="17">
        <v>59</v>
      </c>
      <c r="E66" s="16" t="s">
        <v>12</v>
      </c>
      <c r="F66" s="26">
        <f t="shared" si="10"/>
        <v>0</v>
      </c>
      <c r="G66" s="18">
        <f t="shared" ref="G66" si="16">F66*D66</f>
        <v>0</v>
      </c>
      <c r="I66" s="29"/>
      <c r="J66" s="29"/>
      <c r="M66" s="42"/>
      <c r="N66" s="38"/>
    </row>
    <row r="67" spans="1:14" x14ac:dyDescent="0.25">
      <c r="A67" s="16"/>
      <c r="B67" s="96" t="s">
        <v>290</v>
      </c>
      <c r="C67" s="7" t="s">
        <v>294</v>
      </c>
      <c r="D67" s="41">
        <v>2.9569999999999999</v>
      </c>
      <c r="E67" s="16" t="s">
        <v>69</v>
      </c>
      <c r="F67" s="26">
        <f t="shared" si="10"/>
        <v>0</v>
      </c>
      <c r="G67" s="18">
        <f t="shared" si="14"/>
        <v>0</v>
      </c>
      <c r="I67" s="29"/>
      <c r="J67" s="29"/>
      <c r="M67" s="42"/>
      <c r="N67" s="38"/>
    </row>
    <row r="68" spans="1:14" x14ac:dyDescent="0.25">
      <c r="A68" s="16"/>
      <c r="B68" s="96" t="s">
        <v>291</v>
      </c>
      <c r="C68" s="7" t="s">
        <v>293</v>
      </c>
      <c r="D68" s="41">
        <v>2.8050000000000002</v>
      </c>
      <c r="E68" s="16" t="s">
        <v>69</v>
      </c>
      <c r="F68" s="26">
        <f t="shared" si="10"/>
        <v>0</v>
      </c>
      <c r="G68" s="18">
        <f t="shared" si="6"/>
        <v>0</v>
      </c>
      <c r="I68" s="29"/>
      <c r="J68" s="29"/>
      <c r="M68" s="42"/>
      <c r="N68" s="38"/>
    </row>
    <row r="69" spans="1:14" ht="15.75" thickBot="1" x14ac:dyDescent="0.3">
      <c r="B69" s="12"/>
      <c r="C69" s="13"/>
      <c r="D69" s="14"/>
      <c r="E69" s="15"/>
      <c r="F69" s="11"/>
      <c r="G69" s="28"/>
    </row>
    <row r="70" spans="1:14" ht="15.75" thickBot="1" x14ac:dyDescent="0.3">
      <c r="F70" s="8" t="s">
        <v>7</v>
      </c>
      <c r="G70" s="9">
        <f>SUM(G7:G68)</f>
        <v>0</v>
      </c>
    </row>
    <row r="71" spans="1:14" x14ac:dyDescent="0.25">
      <c r="M71" s="2"/>
      <c r="N71" s="2"/>
    </row>
    <row r="72" spans="1:14" x14ac:dyDescent="0.25">
      <c r="M72" s="2"/>
      <c r="N72" s="2"/>
    </row>
    <row r="73" spans="1:14" s="2" customFormat="1" x14ac:dyDescent="0.25">
      <c r="A73" s="3"/>
      <c r="B73" s="4"/>
      <c r="C73" s="5"/>
      <c r="E73" s="3"/>
      <c r="F73" s="1"/>
      <c r="G73" s="1"/>
      <c r="H73"/>
      <c r="I73"/>
      <c r="J73"/>
      <c r="K73"/>
      <c r="L73"/>
    </row>
    <row r="74" spans="1:14" s="2" customFormat="1" x14ac:dyDescent="0.25">
      <c r="A74" s="3"/>
      <c r="B74" s="4"/>
      <c r="C74" s="6"/>
      <c r="E74" s="3"/>
      <c r="F74" s="1"/>
      <c r="G74" s="1"/>
      <c r="H74"/>
      <c r="I74"/>
      <c r="J74"/>
      <c r="K74"/>
      <c r="L74"/>
      <c r="M74"/>
      <c r="N74"/>
    </row>
    <row r="75" spans="1:14" s="2" customFormat="1" x14ac:dyDescent="0.25">
      <c r="A75" s="3"/>
      <c r="B75" s="4"/>
      <c r="C75" s="6"/>
      <c r="E75" s="3"/>
      <c r="F75" s="1"/>
      <c r="G75" s="1"/>
      <c r="H75"/>
      <c r="I75"/>
      <c r="J75"/>
      <c r="K75"/>
      <c r="L75"/>
      <c r="M75"/>
      <c r="N75"/>
    </row>
    <row r="76" spans="1:14" s="2" customFormat="1" x14ac:dyDescent="0.25">
      <c r="A76" s="3"/>
      <c r="B76" s="4"/>
      <c r="C76" s="6"/>
      <c r="E76" s="3"/>
      <c r="F76" s="1"/>
      <c r="G76" s="1"/>
      <c r="H76"/>
      <c r="I76"/>
      <c r="J76"/>
      <c r="K76"/>
      <c r="L76"/>
      <c r="M76"/>
      <c r="N76"/>
    </row>
    <row r="77" spans="1:14" x14ac:dyDescent="0.25">
      <c r="B77" s="4"/>
      <c r="C77" s="6"/>
    </row>
    <row r="78" spans="1:14" x14ac:dyDescent="0.25">
      <c r="B78" s="4"/>
      <c r="C78" s="6"/>
    </row>
  </sheetData>
  <sortState xmlns:xlrd2="http://schemas.microsoft.com/office/spreadsheetml/2017/richdata2" ref="A1:G19">
    <sortCondition ref="B8:B57"/>
  </sortState>
  <mergeCells count="5">
    <mergeCell ref="B1:G1"/>
    <mergeCell ref="B3:G3"/>
    <mergeCell ref="B4:G4"/>
    <mergeCell ref="B5:G5"/>
    <mergeCell ref="B2:G2"/>
  </mergeCells>
  <phoneticPr fontId="21" type="noConversion"/>
  <pageMargins left="0.25" right="0.25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Tables</vt:lpstr>
      <vt:lpstr>TOTAL BID SUMMARY</vt:lpstr>
      <vt:lpstr>6096560</vt:lpstr>
      <vt:lpstr>ITS AND SIGNALS</vt:lpstr>
      <vt:lpstr>6096570 &amp; 6096580</vt:lpstr>
      <vt:lpstr>6096560 (Backup)</vt:lpstr>
      <vt:lpstr>Manatee Avg</vt:lpstr>
      <vt:lpstr>Roadway_total</vt:lpstr>
      <vt:lpstr>'6096560'!Print_Area</vt:lpstr>
      <vt:lpstr>'6096560 (Backup)'!Print_Area</vt:lpstr>
      <vt:lpstr>'6096570 &amp; 6096580'!Print_Area</vt:lpstr>
      <vt:lpstr>'ITS AND SIGNALS'!Print_Area</vt:lpstr>
      <vt:lpstr>'Manatee Avg'!Print_Area</vt:lpstr>
      <vt:lpstr>Roadway_total!Print_Area</vt:lpstr>
      <vt:lpstr>Tables!Print_Area</vt:lpstr>
      <vt:lpstr>'6096560'!Print_Titles</vt:lpstr>
      <vt:lpstr>'ITS AND SIGNALS'!Print_Titles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Newcomb</dc:creator>
  <cp:lastModifiedBy>Sherri Adams-Meier</cp:lastModifiedBy>
  <cp:lastPrinted>2026-03-16T13:51:37Z</cp:lastPrinted>
  <dcterms:created xsi:type="dcterms:W3CDTF">2015-04-02T11:39:03Z</dcterms:created>
  <dcterms:modified xsi:type="dcterms:W3CDTF">2026-04-02T12:44:28Z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