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705" activeTab="0"/>
  </bookViews>
  <sheets>
    <sheet name="Appendix L" sheetId="1" r:id="rId1"/>
    <sheet name="DO NOT USE 100%" sheetId="2" state="hidden" r:id="rId2"/>
    <sheet name="DO NOT USE 90%" sheetId="3" state="hidden" r:id="rId3"/>
    <sheet name="DO NOT USE 60%" sheetId="4" state="hidden" r:id="rId4"/>
  </sheets>
  <definedNames>
    <definedName name="_xlfn.CEILING.MATH" hidden="1">#NAME?</definedName>
    <definedName name="_xlfn.NUMBERVALUE" hidden="1">#NAME?</definedName>
    <definedName name="_xlfn.SINGLE" hidden="1">#NAME?</definedName>
    <definedName name="PG1" localSheetId="0">'Appendix L'!$A$8:$I$137</definedName>
    <definedName name="PG1" localSheetId="3">'DO NOT USE 60%'!$A$8:$K$183</definedName>
    <definedName name="PG1">#REF!</definedName>
    <definedName name="PG2" localSheetId="0">'Appendix L'!#REF!</definedName>
    <definedName name="PG2" localSheetId="1">#REF!</definedName>
    <definedName name="PG2" localSheetId="3">'DO NOT USE 60%'!#REF!</definedName>
    <definedName name="PG2">#REF!</definedName>
    <definedName name="_xlnm.Print_Area" localSheetId="0">'Appendix L'!$A$8:$J$142</definedName>
    <definedName name="_xlnm.Print_Area" localSheetId="1">'DO NOT USE 100%'!$A$8:$I$232</definedName>
    <definedName name="_xlnm.Print_Area" localSheetId="3">'DO NOT USE 60%'!$A$8:$I$182</definedName>
    <definedName name="_xlnm.Print_Area" localSheetId="2">'DO NOT USE 90%'!$A$8:$I$217</definedName>
    <definedName name="Print_Area_MI" localSheetId="0">'Appendix L'!#REF!</definedName>
    <definedName name="Print_Area_MI" localSheetId="1">#REF!</definedName>
    <definedName name="Print_Area_MI" localSheetId="3">'DO NOT USE 60%'!#REF!</definedName>
    <definedName name="Print_Area_MI">#REF!</definedName>
    <definedName name="_xlnm.Print_Titles" localSheetId="0">'Appendix L'!$8:$15</definedName>
    <definedName name="_xlnm.Print_Titles" localSheetId="1">'DO NOT USE 100%'!$8:$17</definedName>
    <definedName name="_xlnm.Print_Titles" localSheetId="3">'DO NOT USE 60%'!$8:$17</definedName>
    <definedName name="_xlnm.Print_Titles" localSheetId="2">'DO NOT USE 90%'!$8:$17</definedName>
  </definedNames>
  <calcPr fullCalcOnLoad="1"/>
</workbook>
</file>

<file path=xl/comments2.xml><?xml version="1.0" encoding="utf-8"?>
<comments xmlns="http://schemas.openxmlformats.org/spreadsheetml/2006/main">
  <authors>
    <author>Jeremy Runkle</author>
    <author>Hamid Faraji</author>
  </authors>
  <commentList>
    <comment ref="G46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48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58" authorId="1">
      <text>
        <r>
          <rPr>
            <b/>
            <sz val="9"/>
            <rFont val="Tahoma"/>
            <family val="2"/>
          </rPr>
          <t>Hamid Faraji: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74" authorId="1">
      <text>
        <r>
          <rPr>
            <b/>
            <sz val="9"/>
            <rFont val="Tahoma"/>
            <family val="2"/>
          </rPr>
          <t>Hamid Faraji:</t>
        </r>
        <r>
          <rPr>
            <sz val="9"/>
            <rFont val="Tahoma"/>
            <family val="2"/>
          </rPr>
          <t xml:space="preserve">
Quantity=1 State Avg @ $3716.67
use 18" cost</t>
        </r>
      </text>
    </comment>
    <comment ref="G85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12-Month Moving Statewide 
Average</t>
        </r>
      </text>
    </comment>
  </commentList>
</comments>
</file>

<file path=xl/comments3.xml><?xml version="1.0" encoding="utf-8"?>
<comments xmlns="http://schemas.openxmlformats.org/spreadsheetml/2006/main">
  <authors>
    <author>Jeremy Runkle</author>
    <author>Hamid Faraji</author>
  </authors>
  <commentList>
    <comment ref="G42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44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52" authorId="1">
      <text>
        <r>
          <rPr>
            <b/>
            <sz val="9"/>
            <rFont val="Tahoma"/>
            <family val="2"/>
          </rPr>
          <t>Hamid Faraji: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68" authorId="1">
      <text>
        <r>
          <rPr>
            <b/>
            <sz val="9"/>
            <rFont val="Tahoma"/>
            <family val="2"/>
          </rPr>
          <t>Hamid Faraji:</t>
        </r>
        <r>
          <rPr>
            <sz val="9"/>
            <rFont val="Tahoma"/>
            <family val="2"/>
          </rPr>
          <t xml:space="preserve">
Quantity=1 State Avg @ $3716.67
use 18" cost</t>
        </r>
      </text>
    </comment>
    <comment ref="G77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12-Month Moving Statewide 
Average</t>
        </r>
      </text>
    </comment>
  </commentList>
</comments>
</file>

<file path=xl/comments4.xml><?xml version="1.0" encoding="utf-8"?>
<comments xmlns="http://schemas.openxmlformats.org/spreadsheetml/2006/main">
  <authors>
    <author>Jeremy Runkle</author>
    <author>Hamid Faraji</author>
  </authors>
  <commentList>
    <comment ref="G33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39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48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51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58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68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69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71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G77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12-Month Moving Statewide 
Average</t>
        </r>
      </text>
    </comment>
    <comment ref="G70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6-Month: 430-982-141 Equivalent</t>
        </r>
      </text>
    </comment>
    <comment ref="G49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425-1-461 Equivalent</t>
        </r>
      </text>
    </comment>
    <comment ref="G41" authorId="0">
      <text>
        <r>
          <rPr>
            <b/>
            <sz val="9"/>
            <rFont val="Tahoma"/>
            <family val="2"/>
          </rPr>
          <t>Jeremy Runkle:</t>
        </r>
        <r>
          <rPr>
            <sz val="9"/>
            <rFont val="Tahoma"/>
            <family val="2"/>
          </rPr>
          <t xml:space="preserve">
6-Month Moving Statewide 
Average</t>
        </r>
      </text>
    </comment>
    <comment ref="S64" authorId="1">
      <text>
        <r>
          <rPr>
            <b/>
            <sz val="9"/>
            <rFont val="Tahoma"/>
            <family val="2"/>
          </rPr>
          <t>Hamid Faraji:</t>
        </r>
        <r>
          <rPr>
            <sz val="9"/>
            <rFont val="Tahoma"/>
            <family val="2"/>
          </rPr>
          <t xml:space="preserve">
all the way to the pond</t>
        </r>
      </text>
    </comment>
  </commentList>
</comments>
</file>

<file path=xl/sharedStrings.xml><?xml version="1.0" encoding="utf-8"?>
<sst xmlns="http://schemas.openxmlformats.org/spreadsheetml/2006/main" count="2111" uniqueCount="716">
  <si>
    <t xml:space="preserve"> </t>
  </si>
  <si>
    <t>PCT</t>
  </si>
  <si>
    <t>Available</t>
  </si>
  <si>
    <t>ITEM</t>
  </si>
  <si>
    <t>DESCRIPTION</t>
  </si>
  <si>
    <t>UNIT</t>
  </si>
  <si>
    <t>TOTAL PRICE</t>
  </si>
  <si>
    <t>CHG</t>
  </si>
  <si>
    <t>Contingency</t>
  </si>
  <si>
    <t>LS</t>
  </si>
  <si>
    <t>SY</t>
  </si>
  <si>
    <t>LF</t>
  </si>
  <si>
    <t>EA</t>
  </si>
  <si>
    <t>Step 1</t>
  </si>
  <si>
    <t>Step 2</t>
  </si>
  <si>
    <t>Step 3</t>
  </si>
  <si>
    <t>Step 4</t>
  </si>
  <si>
    <t xml:space="preserve">Note: </t>
  </si>
  <si>
    <t>Now manually input the Bid Quantity to nearest $5 or $10 (Col E) - Increase only Area and Volume units</t>
  </si>
  <si>
    <t>All Manual Input Fields are in Blue</t>
  </si>
  <si>
    <t>PROCEDURE FOR PROJECTS</t>
  </si>
  <si>
    <t xml:space="preserve">Input Item, Description and Unit </t>
  </si>
  <si>
    <t>&lt;&lt; Mobilization (Input % below)(Use 10 to 15%)</t>
  </si>
  <si>
    <t>&lt;&lt; MOT (Input % below)(Use 8 to 12%)</t>
  </si>
  <si>
    <t>110-1-1</t>
  </si>
  <si>
    <t>522-2</t>
  </si>
  <si>
    <t>570-1-2</t>
  </si>
  <si>
    <t>TN</t>
  </si>
  <si>
    <t>522-1</t>
  </si>
  <si>
    <t>527-2</t>
  </si>
  <si>
    <t>SF</t>
  </si>
  <si>
    <t>110-4-10</t>
  </si>
  <si>
    <t>286-1</t>
  </si>
  <si>
    <t>520-1-10</t>
  </si>
  <si>
    <t>AS</t>
  </si>
  <si>
    <t>Note: Unit costs based on FDOT Historical Costs (Current 12 Month Moving Averages for Area 8).  Percentages based on values per FDOT Work Program Update Cycle.</t>
  </si>
  <si>
    <t>Input Actual Quantity (Col E) and Unit Price (Col K)</t>
  </si>
  <si>
    <t>Notice the 15% increase is shown in the table (Col F)</t>
  </si>
  <si>
    <t>334-1-13</t>
  </si>
  <si>
    <t>PAY ITEM NO.</t>
  </si>
  <si>
    <t>ESTIMATED QUANTITY</t>
  </si>
  <si>
    <t>160-4</t>
  </si>
  <si>
    <t>ROADWAY COMPONENT</t>
  </si>
  <si>
    <t>OTHER</t>
  </si>
  <si>
    <t>CLEARING AND GRUBBING</t>
  </si>
  <si>
    <t>REMOVAL OF EXISTING CONCRETE</t>
  </si>
  <si>
    <t>TYPE B STABILIZATION</t>
  </si>
  <si>
    <t>CONCRETE CURB &amp; GUTTER, TYPE F</t>
  </si>
  <si>
    <t>CONCRETE SIDEWALK AND DRIVEWAYS, 4"</t>
  </si>
  <si>
    <t>CONCRETE SIDEWALK AND DRIVEWAYS, 6"</t>
  </si>
  <si>
    <t>DETECTABLE WARNINGS</t>
  </si>
  <si>
    <t>PERFORMANCE TURF, SOD</t>
  </si>
  <si>
    <t>ROADWAY COMPONENT SUB-TOTAL</t>
  </si>
  <si>
    <t>ESTIMATED
UNIT PRICE</t>
  </si>
  <si>
    <t>UP Markup=</t>
  </si>
  <si>
    <t>Quant. Markup=</t>
  </si>
  <si>
    <t>CY</t>
  </si>
  <si>
    <t>400-0-11</t>
  </si>
  <si>
    <t>CONCRETE CLASS NS, GRAVITY WALL</t>
  </si>
  <si>
    <t>515-1-1</t>
  </si>
  <si>
    <t>PIPE HANDRAIL - GUIDERAIL, STEEL</t>
  </si>
  <si>
    <t>INLET, DITCH BOTTOM, FDOT TYPE C MODIFIED, J-BOT (5'-0" X 3'-6), &lt; 10'</t>
  </si>
  <si>
    <t>INLET, GUTTER, FDOT TYPE S, &lt; 10'</t>
  </si>
  <si>
    <t>524-1-2</t>
  </si>
  <si>
    <t>CONCRETE DITCH PAVEMENT, NR, 4"</t>
  </si>
  <si>
    <t>SEDIMENT BARRIER</t>
  </si>
  <si>
    <t>STAKED TURBIDITY BARRIER</t>
  </si>
  <si>
    <t>INLET PROTECTION SYSTEM</t>
  </si>
  <si>
    <t>104-10-3</t>
  </si>
  <si>
    <t>104-12</t>
  </si>
  <si>
    <t>104-18</t>
  </si>
  <si>
    <t>REGULAR EXCAVATION</t>
  </si>
  <si>
    <t>EMBANKMENT</t>
  </si>
  <si>
    <t>120-1</t>
  </si>
  <si>
    <t>120-6</t>
  </si>
  <si>
    <t>MITERED END SECTION, OPTIONAL ROUND, 30" SD</t>
  </si>
  <si>
    <t>MITERED END SECTION, OPTIONAL ROUND, 36" SD</t>
  </si>
  <si>
    <t>430-984-133</t>
  </si>
  <si>
    <t>430-984-138</t>
  </si>
  <si>
    <t>GM</t>
  </si>
  <si>
    <t>711-14-123</t>
  </si>
  <si>
    <t>INLET, DITCH BOTTOM, FDOT TYPE C MODIFIED - BACK OF SIDEWALK, &lt; 10'</t>
  </si>
  <si>
    <t>110-7-1</t>
  </si>
  <si>
    <t>MAILBOX, F&amp;I, SINGLE</t>
  </si>
  <si>
    <t>LS/AC</t>
  </si>
  <si>
    <t>201020-001</t>
  </si>
  <si>
    <t>201500-001</t>
  </si>
  <si>
    <t>Moccasin Wallow Road from US 41 to West of I-75</t>
  </si>
  <si>
    <t>EOR: Hamid R. Faraji, PE No. 51581</t>
  </si>
  <si>
    <t>OPTIONAL BASE, BASE GROUP 01</t>
  </si>
  <si>
    <t>OPTIONAL BASE, BASE GROUP 09</t>
  </si>
  <si>
    <t>285-701</t>
  </si>
  <si>
    <t>285-709</t>
  </si>
  <si>
    <t>286-2</t>
  </si>
  <si>
    <t>TURNOUT CONSTRUCTION - ASPHALT</t>
  </si>
  <si>
    <t>TURNOUT CONSTRUCTION</t>
  </si>
  <si>
    <t xml:space="preserve">SUPERPAVE ASPHALTIC CONCRETE, TRAFFIC A </t>
  </si>
  <si>
    <t>334-1-11</t>
  </si>
  <si>
    <t xml:space="preserve">SUPERPAVE ASPHALTIC CONCRETE, TRAFFIC C </t>
  </si>
  <si>
    <t>327-70-6</t>
  </si>
  <si>
    <t>MILLING EXISTING ASPH PAVT, 1 1/2" AVG DEPTH</t>
  </si>
  <si>
    <t>337-7-83</t>
  </si>
  <si>
    <t>ASPH CONC FC, TRAFFIC C, FC-12.5, PG 76-22</t>
  </si>
  <si>
    <t>339-1</t>
  </si>
  <si>
    <t>MISCELLANEOUS ASPHALT PAVEMENT</t>
  </si>
  <si>
    <t>400-1-2</t>
  </si>
  <si>
    <t>CONCRETE CLASS I, ENDWALLS</t>
  </si>
  <si>
    <t>INLETS, CURB, TYPE P-5, &lt;10'</t>
  </si>
  <si>
    <t>INLETS, CURB, TYPE P-6, &lt;10'</t>
  </si>
  <si>
    <t>INLETS, CURB, TYPE J-5, &lt;10'</t>
  </si>
  <si>
    <t>INLETS, CURB, TYPE J-6, &lt;10'</t>
  </si>
  <si>
    <t>INLETS, DT BOT, TYPE C,&lt;10'</t>
  </si>
  <si>
    <t>INLETS, DT BOT, TYPE C,JBOT, &lt;10'</t>
  </si>
  <si>
    <t>INLETS, DT BOT, TYPE D, &lt;10'</t>
  </si>
  <si>
    <t>INLETS, DITCH BOTTOM, TYPE D, J BOT, &lt;10'</t>
  </si>
  <si>
    <t>MANHOLES, J-8, &lt;10'</t>
  </si>
  <si>
    <t>425-2-91</t>
  </si>
  <si>
    <t>PIPE CULVERT,OPTIONAL MATERIAL,ROUND, 18"S/CD</t>
  </si>
  <si>
    <t>430-175-118</t>
  </si>
  <si>
    <t>PIPE CULVERT,OPTIONAL MATERIAL,ROUND, 24"S/CD</t>
  </si>
  <si>
    <t>430-175-124</t>
  </si>
  <si>
    <t>PIPE CULVERT, OPT MATERIAL, ROUND, 30"S/CD</t>
  </si>
  <si>
    <t>430-175-130</t>
  </si>
  <si>
    <t>PIPE CULVERT, OPT MATERIAL, ROUND, 36"S/CD</t>
  </si>
  <si>
    <t>430-175-136</t>
  </si>
  <si>
    <t>PIPE CULVERT, OPT MATERIAL, ROUND, 42"S/CD</t>
  </si>
  <si>
    <t>430-175-142</t>
  </si>
  <si>
    <t>PIPE CULVERT, OPT MATERIAL, ROUND, 48"S/CD</t>
  </si>
  <si>
    <t>430-175-148</t>
  </si>
  <si>
    <t>PIPE CULVERT, OPTIONAL MATERIAL, OTHER SHAPE - ELLIP/ARCH, 36"SD</t>
  </si>
  <si>
    <t>430-174-236</t>
  </si>
  <si>
    <t>430-174-224</t>
  </si>
  <si>
    <t>PIPE CULVERT, OPTIONAL MATERIAL, OTHER SHAPE - ELLIP/ARCH, 18"SD</t>
  </si>
  <si>
    <t>430-174-218</t>
  </si>
  <si>
    <t>PIPE CULVERT, OPTIONAL MATERIAL, OTHER SHAPE - ELLIP/ARCH, 24"SD</t>
  </si>
  <si>
    <t>MITERED END SECTION, OPTIONAL ROUND, 48" SD</t>
  </si>
  <si>
    <t>WETLAND MITIGATION</t>
  </si>
  <si>
    <t>STORMWATER MANAGEMENT FACILITIES</t>
  </si>
  <si>
    <t>430-984-149</t>
  </si>
  <si>
    <t>550-10-222</t>
  </si>
  <si>
    <t>FENCING, TYPE B, 5.1-6.0, W/ VINYL COAT</t>
  </si>
  <si>
    <t>FLOODPLAIN COMPENSATION</t>
  </si>
  <si>
    <t>Pond/Floodplain Compensation/Wetland Mitigation - Site A-1</t>
  </si>
  <si>
    <t>Linear Pond on the East End within Existing ROW</t>
  </si>
  <si>
    <t>Total Estimated Cost</t>
  </si>
  <si>
    <t>Right-of-Way</t>
  </si>
  <si>
    <t>Roadway Modified Meander alignment 150' ROW</t>
  </si>
  <si>
    <t>Manatee County</t>
  </si>
  <si>
    <t>Public Works Department</t>
  </si>
  <si>
    <t>Manatee Project ID: 6092560</t>
  </si>
  <si>
    <t>SIGNING AND PAVEMENT MARKINGS COMPONENT</t>
  </si>
  <si>
    <t>SIGNING AND PAVEMENT MARKINGS COMPONENT SUB-TOTAL</t>
  </si>
  <si>
    <t>SIGNALIZATION COMPONENT</t>
  </si>
  <si>
    <t>SIGNALIZATION COMPONENT SUB-TOTAL</t>
  </si>
  <si>
    <t>LIGHTING COMPONENT</t>
  </si>
  <si>
    <t>PROJECT UNKNOWNS (15%)</t>
  </si>
  <si>
    <t>630-2-11</t>
  </si>
  <si>
    <t>CONDUIT, FURNISH &amp; INSTALL, OPEN TRENCH</t>
  </si>
  <si>
    <t>630-2-12</t>
  </si>
  <si>
    <t>CONDUIT, FURNISH &amp; INSTALL, DIRECTIONAL BORE</t>
  </si>
  <si>
    <t>635-2-11</t>
  </si>
  <si>
    <t>PULL &amp; SPLICE BOX, F&amp;I, 13" X 24" COVER SIZE</t>
  </si>
  <si>
    <t>639-1-122</t>
  </si>
  <si>
    <t>ELECTRICAL POWER SERVICE, F&amp;I, UNDERGROUND, METER PURCHASED BY CONTRACTOR</t>
  </si>
  <si>
    <t>715-1-12</t>
  </si>
  <si>
    <t>LIGHTING CONDUCTORS, F&amp;I, INSULATED, NO.8 - 6</t>
  </si>
  <si>
    <t>715-4-32</t>
  </si>
  <si>
    <t>LIGHT POLE COMPLETE, F&amp;I, UTILITY CONFLICT POLE, INDEX 17515/715-002 FOUNDATION, 35' MOUNTING HEIGHT</t>
  </si>
  <si>
    <t>715-7-11</t>
  </si>
  <si>
    <t>LOAD CENTER, F&amp;I, SECONDARY VOLTAGE</t>
  </si>
  <si>
    <t>715-11-211</t>
  </si>
  <si>
    <t>LUMINAIRE, F&amp;I- REPLACE EXISTING LUMINAIRE ON EXISTING POLE/ARM, ROADWAY, COBRA HEAD</t>
  </si>
  <si>
    <t>715-500-1</t>
  </si>
  <si>
    <t>POLE CABLE DISTRIBUTION SYSTEM, FURNISH AND INSTALL, CONVENTIONAL</t>
  </si>
  <si>
    <t>101-1</t>
  </si>
  <si>
    <t>102-1</t>
  </si>
  <si>
    <t>MOBILIZATION (10%)</t>
  </si>
  <si>
    <t>MAINTENANCE OF TRAFFIC (10%)</t>
  </si>
  <si>
    <t>425-1-351</t>
  </si>
  <si>
    <t>425-1-361</t>
  </si>
  <si>
    <t>425-1-451</t>
  </si>
  <si>
    <t>425-1-461</t>
  </si>
  <si>
    <t>425-1-521</t>
  </si>
  <si>
    <t>425-1-523</t>
  </si>
  <si>
    <t>425-1-531</t>
  </si>
  <si>
    <t>425-1-533</t>
  </si>
  <si>
    <t>425-1-541</t>
  </si>
  <si>
    <t>425-1-543</t>
  </si>
  <si>
    <t>425-1-701</t>
  </si>
  <si>
    <t>632-7-1</t>
  </si>
  <si>
    <t>SIGNAL CABLE- NEW OR RECONSTRUCTED INTERSECTION, FURNISH &amp; INSTALL</t>
  </si>
  <si>
    <t>PI</t>
  </si>
  <si>
    <t>632-7-6</t>
  </si>
  <si>
    <t>SIGNAL CABLE, REMOVE- INTERSECTION</t>
  </si>
  <si>
    <t>633-1-121</t>
  </si>
  <si>
    <t>FIBER OPTIC CABLE, F&amp;I, UNDERGROUND,2-12 FIBERS</t>
  </si>
  <si>
    <t>633-1-122</t>
  </si>
  <si>
    <t>FIBER OPTIC CABLE, F&amp;I, UNDERGROUND,13-48 FIBERS</t>
  </si>
  <si>
    <t>633-2-31</t>
  </si>
  <si>
    <t>FIBER OPTIC CONNECTION, INSTALL, SPLICE</t>
  </si>
  <si>
    <t>633-2-32</t>
  </si>
  <si>
    <t>FIBER OPTIC CONNECTION, INSTALL, TERMINATION</t>
  </si>
  <si>
    <t>633-3-11</t>
  </si>
  <si>
    <t>FIBER OPTIC CONNECTION HARDWARE, F&amp;I, SPLICE ENCLOSURE</t>
  </si>
  <si>
    <t>633-3-12</t>
  </si>
  <si>
    <t>FIBER OPTIC CONNECTION HARDWARE, F&amp;I, SPLICE TRAY</t>
  </si>
  <si>
    <t>633-3-16</t>
  </si>
  <si>
    <t>FIBER OPTIC CONNECTION HARDWARE, F&amp;I, PATCH PANEL- FIELD TERMINATED</t>
  </si>
  <si>
    <t>634-4-600</t>
  </si>
  <si>
    <t>SPAN WIRE ASSEMBLY, REMOVE- POLES REMAIN</t>
  </si>
  <si>
    <t>PULL &amp; SPLICE BOX, F&amp;I, 13" x 24" COVER SIZE</t>
  </si>
  <si>
    <t>635-2-12</t>
  </si>
  <si>
    <t>PULL &amp; SPLICE BOX, F&amp;I, 24" X 36" COVER SIZE</t>
  </si>
  <si>
    <t>635-2-13</t>
  </si>
  <si>
    <t>PULL &amp; SPLICE BOX, F&amp;I, 30" X 60" RECTANGULAR OR  36" ROUND COVER SIZE</t>
  </si>
  <si>
    <t>639-1-610</t>
  </si>
  <si>
    <t>ELECTRICAL POWER SERVICE, REMOVE OVERHEAD</t>
  </si>
  <si>
    <t>639-1-620</t>
  </si>
  <si>
    <t>ELECTRICAL POWER SERVICE, REMOVE UNDERGROUND</t>
  </si>
  <si>
    <t>639-2-1</t>
  </si>
  <si>
    <t>ELECTRICAL SERVICE WIRE, FURNISH &amp; INSTALL</t>
  </si>
  <si>
    <t>641-2-12</t>
  </si>
  <si>
    <t>PRESTRESSED CONCRETE POLE, F&amp;I, TYPE P-II SERVICE POLE</t>
  </si>
  <si>
    <t>641-2-13</t>
  </si>
  <si>
    <t>PRESTRESSED CONCRETE POLE, F&amp;I, TYPE P-III</t>
  </si>
  <si>
    <t>641-2-60</t>
  </si>
  <si>
    <t>PRESTRESSED CONCRETE POLE, COMPLETE POLE REMOVAL-  PEDESTAL/SERVICE POLE</t>
  </si>
  <si>
    <t>641-2-80</t>
  </si>
  <si>
    <t>PRESTRESSED CONCRETE POLE, COMPLETE POLE REMOVAL- POLE 30' AND GREATER</t>
  </si>
  <si>
    <t>646-1-11</t>
  </si>
  <si>
    <t>ALUMINUM SIGNALS POLE, PEDESTAL</t>
  </si>
  <si>
    <t>646-1-60</t>
  </si>
  <si>
    <t>ALUMINUM SIGNALS POLE, REMOVE</t>
  </si>
  <si>
    <t>649-21-10</t>
  </si>
  <si>
    <t>STEEL MAST ARM ASSEMBLY, FURNISH AND INSTALL, SINGLE ARM 60'</t>
  </si>
  <si>
    <t>649-21-15</t>
  </si>
  <si>
    <t>STEEL MAST ARM ASSEMBLY, FURNISH AND INSTALL, SINGLE ARM 70'</t>
  </si>
  <si>
    <t>649-21-21</t>
  </si>
  <si>
    <t>STEEL MAST ARM ASSEMBLY, FURNISH AND INSTALL, SINGLE ARM 78'</t>
  </si>
  <si>
    <t>650-1-14</t>
  </si>
  <si>
    <t>VEHICULAR TRAFFIC SIGNAL, FURNISH &amp; INSTALL ALUMINUM,  3 SECTION, 1 WAY</t>
  </si>
  <si>
    <t>650-1-16</t>
  </si>
  <si>
    <t>VEHICULAR TRAFFIC SIGNAL, FURNISH &amp; INSTALL ALUMINUM,  4 SECTION, 1 WAY</t>
  </si>
  <si>
    <t>650-1-60</t>
  </si>
  <si>
    <t>VEHICULAR TRAFFIC SIGNAL, REMOVE- POLES TO REMAIN</t>
  </si>
  <si>
    <t>653-1-11</t>
  </si>
  <si>
    <t>PEDESTRIAN SIGNAL, FURNISH &amp; INSTALL LED COUNTDOWN,  1 WAY</t>
  </si>
  <si>
    <t>660-3-11</t>
  </si>
  <si>
    <t>VEHICLE DETECTION SYSTEM- MICROWAVE, FURNISH &amp; INSTALL CABINET EQUIPMENT</t>
  </si>
  <si>
    <t>660-3-12</t>
  </si>
  <si>
    <t>VEHICLE DETECTION SYSTEM- MICROWAVE, FURNISH &amp; INSTALL, ABOVE GROUND EQUIPMENT</t>
  </si>
  <si>
    <t>660-4-11</t>
  </si>
  <si>
    <t>VEHICLE DETECTION SYSTEM- VIDEO, FURNISH &amp; INSTALL CABINET EQUIPMENT</t>
  </si>
  <si>
    <t>660-4-12</t>
  </si>
  <si>
    <t>VEHICLE DETECTION SYSTEM- VIDEO, FURNISH &amp; INSTALL ABOVE GROUND EQUIPMENT</t>
  </si>
  <si>
    <t>660-4-42</t>
  </si>
  <si>
    <t>VEHICLE DETECTION SYSTEM- VIDEO, RELOCATE ABOVE GROUND EQUIPMENT</t>
  </si>
  <si>
    <t>663-1-111</t>
  </si>
  <si>
    <t>SIGNAL PRIORITY AND PREEMPTION SYSTEM, F&amp;I, OPTICAL,  CABINET ELECTRONICS</t>
  </si>
  <si>
    <t>663-1-112</t>
  </si>
  <si>
    <t>SIGNAL PRIORITY AND PREEMPTION SYSTEM, F&amp;I, OPTICAL, DETECTOR</t>
  </si>
  <si>
    <t>665-1-11</t>
  </si>
  <si>
    <t>PEDESTRIAN DETECTOR, FURNISH &amp; INSTALL, STANDARD</t>
  </si>
  <si>
    <t>670-5-110</t>
  </si>
  <si>
    <t>TRAFFIC CONTROLLER ASSEMBLY, F&amp;I, NEMA</t>
  </si>
  <si>
    <t>670-5-111</t>
  </si>
  <si>
    <t>TRAFFIC CONTROLLER ASSEMBLY, F&amp;I, NEMA, 1 PREEMPTION</t>
  </si>
  <si>
    <t>670-5-400</t>
  </si>
  <si>
    <t>TRAFFIC CONTROLLER ASSEMBLY, MODIFY</t>
  </si>
  <si>
    <t>670-5-600</t>
  </si>
  <si>
    <t>TRAFFIC CONTROLLER ASSEMBLY, REMOVE CONTROLLER WITH CABINET</t>
  </si>
  <si>
    <t>676-3-10</t>
  </si>
  <si>
    <t>SMALL EQUIPMENT ENCLOSURE, FURNISH AND INSTALL,  LESS THAN 10"W X 13"H X 11" D</t>
  </si>
  <si>
    <t>682-1-113</t>
  </si>
  <si>
    <t>ITS CCTV  CAMERA, F&amp;I, DOME PTZ ENCLOSURE - PRESSURIZED, IP, HIGH DEFINITION</t>
  </si>
  <si>
    <t>684-1-1</t>
  </si>
  <si>
    <t>MANAGED FIELD ETHERNET SWITCH, FURNISH &amp; INSTALL</t>
  </si>
  <si>
    <t>685-1-13</t>
  </si>
  <si>
    <t>UNINTERRUPTIBLE POWER SUPPLY, FURNISH AND INSTALL, LINE INTERACTIVE WITH CABINET</t>
  </si>
  <si>
    <t>700-3-201</t>
  </si>
  <si>
    <t>SIGN PANEL, FURNISH &amp; INSTALL OVERHEAD MOUNT, UP TO 12 SF</t>
  </si>
  <si>
    <t>700-5-22</t>
  </si>
  <si>
    <t>INTERNALLY ILLUMINATED SIGN, FURNISH &amp; INSTALL,  OVERHEAD MOUNT, 12-18 SF</t>
  </si>
  <si>
    <t>TOTAL of SUB-TOTALS</t>
  </si>
  <si>
    <t>ADD MOT QUANTITIES</t>
  </si>
  <si>
    <t>710-90</t>
  </si>
  <si>
    <t>700-1-11</t>
  </si>
  <si>
    <t>SINGLE POST SIGN, F&amp;I, GROUND MOUNT, UP TO 12 SF</t>
  </si>
  <si>
    <t>700-1-12</t>
  </si>
  <si>
    <t>SINGLE POST SIGN, F&amp;I, GROUND MOUNT, 12-20 SF</t>
  </si>
  <si>
    <t>705-10-1</t>
  </si>
  <si>
    <t>OBJECT MARKER, TYPE 1</t>
  </si>
  <si>
    <t>711-11-124</t>
  </si>
  <si>
    <t>THERMOPLASTIC, STANDARD, WHITE, SOLID, 18" FOR DIAGONAL OR CHEVRON</t>
  </si>
  <si>
    <t>711-11-141</t>
  </si>
  <si>
    <t>THERMOPLASTIC, STANDARD, WHITE, 2-4 DOTTED GUIDELINE/6-10 GAP EXTENSION, 6"</t>
  </si>
  <si>
    <t>711-11-224</t>
  </si>
  <si>
    <t>THERMOPLASTIC, STANDARD, YELLOW, SOLID, 18" FOR DIAGONAL OR CHEVRON</t>
  </si>
  <si>
    <t>THERMOPLASTIC, PREFORMED, WHITE SOLID, 12" FOR CROSSWALK</t>
  </si>
  <si>
    <t>711-14-125</t>
  </si>
  <si>
    <t>THERMOPLASTIC, PREFORMED, WHITE SOLID, 24" FOR CROSSWALK</t>
  </si>
  <si>
    <t>711-14-160</t>
  </si>
  <si>
    <t>THERMOPLASTIC, STANDARD, WHITE, MESSAGE</t>
  </si>
  <si>
    <t>711-14-170</t>
  </si>
  <si>
    <t>THERMOPLASTIC, STANDARD, WHITE, ARROW</t>
  </si>
  <si>
    <t>711-15-101</t>
  </si>
  <si>
    <t>THERMOPLASTIC, STANDARD - OPEN GRADED ASPHALT, WHITE, SOLID, 6"</t>
  </si>
  <si>
    <t>711-15-102</t>
  </si>
  <si>
    <t>THERMOPLASTIC, STANDARD - OPEN GRADED ASPHALT, WHITE, SOLID, 8"</t>
  </si>
  <si>
    <t>711-15-131</t>
  </si>
  <si>
    <t>THERMOPLASTIC, STANDARD - OPEN GRADED ASPHALT, WHITE, SKIP, 6", 10-30 SKIP</t>
  </si>
  <si>
    <t>711-15-133</t>
  </si>
  <si>
    <t>THERMOPLASTIC, STANDARD - OPEN GRADED ASPHALT, WHITE, SKIP, 12", 3-9 LANE DROP</t>
  </si>
  <si>
    <t>711-15-201</t>
  </si>
  <si>
    <t>THERMOPLASTIC, STANDARD - OPEN GRADED ASPHALT, YELLOW, SOLID, 6"</t>
  </si>
  <si>
    <t>425-2-71</t>
  </si>
  <si>
    <t>MANHOLES, J-7, &lt;10'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</si>
  <si>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</si>
  <si>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</si>
  <si>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</si>
  <si>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</si>
  <si>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</si>
  <si>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</si>
  <si>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</si>
  <si>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</si>
  <si>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</si>
  <si>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</si>
  <si>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</si>
  <si>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</si>
  <si>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</si>
  <si>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</si>
  <si>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</si>
  <si>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</si>
  <si>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</si>
  <si>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</si>
  <si>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</si>
  <si>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</si>
  <si>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</si>
  <si>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</si>
  <si>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400-4-11</t>
  </si>
  <si>
    <t>CONCRETE CLASS IV, RETAINING WALL</t>
  </si>
  <si>
    <t>HIDE
ACTUAL QUANTITY</t>
  </si>
  <si>
    <t>HIDE
ACTUAL
UNIT PRICE</t>
  </si>
  <si>
    <t>VERIFIED
PAY ITEMS</t>
  </si>
  <si>
    <t>SHEET BY SHEET HAND CALCULATIONS</t>
  </si>
  <si>
    <t>MITERED END SECTION, OPTIONAL OTHER SHAPE - ELLIP/ARCH, 24"</t>
  </si>
  <si>
    <t>PIPE CULVERT, OPTIONAL MATERIAL, OTHER SHAPE - ELLIP/ARCH, 30"SD</t>
  </si>
  <si>
    <t>PIPE CULVERT, OPTIONAL MATERIAL, OTHER SHAPE - ELLIP/ARCH, 42"SD</t>
  </si>
  <si>
    <t>MITERED END SECTION, OPTIONAL ROUND, 24" SD</t>
  </si>
  <si>
    <t>TOTAL CONSTRUCTION COST</t>
  </si>
  <si>
    <t>430-174-230</t>
  </si>
  <si>
    <t>430-174-242</t>
  </si>
  <si>
    <t>430-984-629</t>
  </si>
  <si>
    <t>430-984-129</t>
  </si>
  <si>
    <t>90% Opinion of Probable Cost Estimate</t>
  </si>
  <si>
    <t>715-4-13</t>
  </si>
  <si>
    <t>LIGHT POLE COMPLETE, F&amp;I STANDARD POLEW STANDARD FOUNDATION, 40' MOUNTING HEIGHT</t>
  </si>
  <si>
    <t>639-2-12</t>
  </si>
  <si>
    <t>PRESTRESSED CONCRETE POLE, F&amp;I, TYPE P-II SERVICE POLE(12')</t>
  </si>
  <si>
    <t>UTILITY COMPONENT</t>
  </si>
  <si>
    <t>WATER MAIN</t>
  </si>
  <si>
    <t>SEWER MAIN</t>
  </si>
  <si>
    <t>RECLAIM WATER MAIN</t>
  </si>
  <si>
    <t>UTILITY COMPONENT SUB-TOTAL</t>
  </si>
  <si>
    <t>285-715</t>
  </si>
  <si>
    <t>OPTIONAL BASE, BASE GROUP 15</t>
  </si>
  <si>
    <t>337-7-81</t>
  </si>
  <si>
    <t>425-1-201</t>
  </si>
  <si>
    <t>INLETS, CURB, TYPE 9, &lt;10'</t>
  </si>
  <si>
    <t>430-175-215</t>
  </si>
  <si>
    <t>430-175-218</t>
  </si>
  <si>
    <t>430-175-224</t>
  </si>
  <si>
    <t>430-175-230</t>
  </si>
  <si>
    <t>430-175-236</t>
  </si>
  <si>
    <t>430-175-242</t>
  </si>
  <si>
    <t>430-175-260</t>
  </si>
  <si>
    <t>430-200-25</t>
  </si>
  <si>
    <t>FLARED END SECTION, CONCRETE, 18"</t>
  </si>
  <si>
    <t>430-984-125</t>
  </si>
  <si>
    <t>MITERED END SECTION, OPTIONAL ROUND, 18" SD</t>
  </si>
  <si>
    <t>430-984-623</t>
  </si>
  <si>
    <t>430-984-624</t>
  </si>
  <si>
    <t>430-984-633</t>
  </si>
  <si>
    <t>430-984-643</t>
  </si>
  <si>
    <t>SHARED USE PATH  COMPONENT</t>
  </si>
  <si>
    <t>OPTION  #1</t>
  </si>
  <si>
    <t>OPTION #1 TOTAL</t>
  </si>
  <si>
    <t>OPTION  #2</t>
  </si>
  <si>
    <t>OPTION #2 TOTAL</t>
  </si>
  <si>
    <t>SHARED USE PATH COMPONENT SUB-TOTAL</t>
  </si>
  <si>
    <t>ACTUAL UNIT COSTS updated 1/20/20 by WGP</t>
  </si>
  <si>
    <t>700-2-14</t>
  </si>
  <si>
    <t>MULTI- POST SIGN, F&amp;I GROUND MOUNT, 31-50 SF</t>
  </si>
  <si>
    <t>700-2-15</t>
  </si>
  <si>
    <t>MULTI- POST SIGN, F&amp;I GROUND MOUNT, 51-100 SF</t>
  </si>
  <si>
    <t>705-11-1</t>
  </si>
  <si>
    <t>DELINEATOR, FLEXIBLE TUBULAR</t>
  </si>
  <si>
    <t>705-11-3</t>
  </si>
  <si>
    <t>DELINEATOR, FLEXIBLE HIGH VISABILITY MEDIAN</t>
  </si>
  <si>
    <t>710-11-190</t>
  </si>
  <si>
    <t>PAINTED PAVEMENT MARKINGS, STANDARD, WHITE, ISLAND NOSE</t>
  </si>
  <si>
    <t>710-11-290</t>
  </si>
  <si>
    <t>PAINTED PAVEMENT MARKINGS, STANDARD, YELLOW, ISLAND NOSE</t>
  </si>
  <si>
    <t>PAINTED PAVEMENT MARKINGS, FINAL SURFACE</t>
  </si>
  <si>
    <t>711-11-123</t>
  </si>
  <si>
    <t>THERMOPLASTIC, STANDARD, WHITE, SOLID, 12" (FOR DROP LANE)</t>
  </si>
  <si>
    <t>711-11-125</t>
  </si>
  <si>
    <t>THERMOPLASTIC, STANDARD, WHITE, SOLID, 24" FOR STOP LINE</t>
  </si>
  <si>
    <t>711-11-160</t>
  </si>
  <si>
    <t>711-11-170</t>
  </si>
  <si>
    <t>711-11-241</t>
  </si>
  <si>
    <t>THERMOPLASTIC, STD, YELLOW, SOLID, 2-4 DOTTED GUIDELINE, 6"</t>
  </si>
  <si>
    <t>711-14-660</t>
  </si>
  <si>
    <t>THERMOPLASTIC, PREFORMED, MULTI COLOR ROUTE SHIELD</t>
  </si>
  <si>
    <t>ESTIMATED UNIT COST over-ridden by Howard Holley cost estimate Table</t>
  </si>
  <si>
    <t>CONCRETE SIDEWALK AND DRIVEWAYS, 4" THICK</t>
  </si>
  <si>
    <t>630-2-14</t>
  </si>
  <si>
    <t>CONDUIT, FURNISH &amp; INSTALL, ABOVEGROUND</t>
  </si>
  <si>
    <t>lf</t>
  </si>
  <si>
    <t>639-3-11</t>
  </si>
  <si>
    <t>ELECTRICAL SERVICE DISCONNECT, F&amp;I, POLE MOUNT</t>
  </si>
  <si>
    <t>649-26-3</t>
  </si>
  <si>
    <t>STEEL MAST ARM ASSEMBLY, REMOVE, SHALLOW FOUNDATION- BOLT ON ATTACHMENT</t>
  </si>
  <si>
    <t>650-1-19</t>
  </si>
  <si>
    <t>VEHICULAR TRAFFIC SIGNAL, FURNISH &amp; INSTALL ALUMINUM,  5 SECTION CLUSTER, 1 WAY</t>
  </si>
  <si>
    <t>660-6-121</t>
  </si>
  <si>
    <t>VEHICLE DETECTION SYSTEM- AVI, BLUETOOTH, FURNISH &amp; INSTALL, CABINET EQUIPMENT</t>
  </si>
  <si>
    <t>660-6-122</t>
  </si>
  <si>
    <t>VEHICLE DETECTION SYSTEM- AVI, BLUETOOTH, FURNISH &amp; INSTALL, ABOVE GROUND EQUIPMENT</t>
  </si>
  <si>
    <t>676-1-135</t>
  </si>
  <si>
    <t>TRAFFIC SIGNAL CONTROLLER CABINET, FURNISH &amp; INSTALL, W/OUT CONTROLLER, NEMA UNWIRED</t>
  </si>
  <si>
    <t xml:space="preserve">       SIZE 5, GENERATOR CABINET W/BASE</t>
  </si>
  <si>
    <t>685-1-60</t>
  </si>
  <si>
    <t>UNINTERRUPTIBLE POWER SUPPLY, REMOVE- POLE/CABINET REMAINS</t>
  </si>
  <si>
    <t>700-5-50</t>
  </si>
  <si>
    <t>INTERNALLY ILLUMINATED SIGN, RELOCATE</t>
  </si>
  <si>
    <t>ESTIMATED UNIT COST over-ridden by David Allen cost estimate Table</t>
  </si>
  <si>
    <t>MOBILIZATION</t>
  </si>
  <si>
    <t>MAINTENANCE OF TRAFFIC</t>
  </si>
  <si>
    <t>104-11</t>
  </si>
  <si>
    <t>FLOATING TURBIDITY BARRIER</t>
  </si>
  <si>
    <t>MAILBOX, F&amp;I SINGLE</t>
  </si>
  <si>
    <t>MILLING EXISTING ASPH PAVEMENT, 1-1/2" AVERAGE DEPTH</t>
  </si>
  <si>
    <t>SUPERPAVE ASPHALTIC CONCRETE, TRAFFIC C</t>
  </si>
  <si>
    <t>ASPHALTIC CONCRETE FC, TRAFFIC B, FC-12.5, PG 76-22</t>
  </si>
  <si>
    <t>ASPHALTIC CONCRETE FC, TRAFFIC C, FC-12.5, PG 76-22</t>
  </si>
  <si>
    <t>INLETS, DT BOT, TYPE C, &lt;10'</t>
  </si>
  <si>
    <t>INLETS, DT BOT, TYPE C, J BOT, &lt;10'</t>
  </si>
  <si>
    <t>INLETS, DT BOT, TYPE C MODIFIED-BACK OF SIDEWALK, &lt;10'</t>
  </si>
  <si>
    <t>INLETS, DT BOT, TYPE D, J BOT, &lt;10'</t>
  </si>
  <si>
    <t>PIPE CULV, OPT MATL, ROUND, 18" S/CD</t>
  </si>
  <si>
    <t>PIPE CULV, OPT MATL, ROUND, 24" S/CD</t>
  </si>
  <si>
    <t>PIPE CULV, OPT MATL, ROUND, 30" S/CD</t>
  </si>
  <si>
    <t>PIPE CULV, OPT MATL, ROUND, 36" S/CD</t>
  </si>
  <si>
    <t>PIPE CULV, OPT MATL, ROUND, 42" S/CD</t>
  </si>
  <si>
    <t>PIPE CULV, OPT MATL, OTHER SHAPE - ELIP/ARCH, 15" S/CD</t>
  </si>
  <si>
    <t>PIPE CULV, OPT MATL, OTHER SHAPE - ELIP/ARCH, 18" S/CD</t>
  </si>
  <si>
    <t>PIPE CULV, OPT MATL, OTHER SHAPE - ELIP/ARCH, 24" S/CD</t>
  </si>
  <si>
    <t>PIPE CULV, OPT MATL, OTHER SHAPE - ELIP/ARCH, 30" S/CD</t>
  </si>
  <si>
    <t>PIPE CULV, OPT MATL, OTHER SHAPE - ELIP/ARCH, 36" S/CD</t>
  </si>
  <si>
    <t>PIPE CULV, OPT MATL, OTHER SHAPE - ELIP/ARCH, 42" S/CD</t>
  </si>
  <si>
    <t>PIPE CULV, OPT MATL, OTHER SHAPE - ELIP/ARCH, 60" S/CD</t>
  </si>
  <si>
    <t>430-536-130</t>
  </si>
  <si>
    <t>430-536-100</t>
  </si>
  <si>
    <t>430-542-100</t>
  </si>
  <si>
    <t>430-530-102</t>
  </si>
  <si>
    <t>430-530-110</t>
  </si>
  <si>
    <t>430-530-120</t>
  </si>
  <si>
    <t>MITERED END SECTION, OPTIONAL - ELLIPTICAL / ARCH, 15" SD</t>
  </si>
  <si>
    <t>MITERED END SECTION, OPTIONAL - ELLIPTICAL / ARCH, 24" SD</t>
  </si>
  <si>
    <t>MITERED END SECTION, OPTIONAL - ELLIPTICAL / ARCH, 30" SD</t>
  </si>
  <si>
    <t>MITERED END SECTION, OPTIONAL - ELLIPTICAL / ARCH, 60" SD</t>
  </si>
  <si>
    <t>520-2-1</t>
  </si>
  <si>
    <t>CONCRETE CURB, TYPE A</t>
  </si>
  <si>
    <t>CONCRETE CURB, TYPE AB</t>
  </si>
  <si>
    <t>536-1-1</t>
  </si>
  <si>
    <t>GUARDRAIL (W-BEAM, GENERAL, TL-3)</t>
  </si>
  <si>
    <t>WETLAND MITIGATION PLANTING</t>
  </si>
  <si>
    <t>536-85-25</t>
  </si>
  <si>
    <t>GUARDRAIL END TREAT- TRAIL AN TYPE II</t>
  </si>
  <si>
    <t>STRAIGHT CONCRETE ENDWALLS, 36", SINGLE, 45 DEGREES, ROUND</t>
  </si>
  <si>
    <t>STRAIGHT CONCRETE ENDWALLS, 36", SINGLE, 0 DEGREES, ROUND</t>
  </si>
  <si>
    <t>STRAIGHT CONCRETE ENDWALLS, 42", SINGLE, 0 DEGREES, ROUND</t>
  </si>
  <si>
    <t>STRAIGHT CONCRETE ENDWALLS, 30", SINGLE, 0 DEGREES, ELLIP</t>
  </si>
  <si>
    <t>STRAIGHT CONCRETE ENDWALLS, 30", SINGLE, 15 DEGREES, ROUND</t>
  </si>
  <si>
    <t>STRAIGHT CONCRETE ENDWALLS, 30", SINGLE, 30 DEGREES, ROUND</t>
  </si>
  <si>
    <t>PROJECT UNKNOWNS (10%)</t>
  </si>
  <si>
    <t>LIGHTING COMPONENT SUB-TOTAL</t>
  </si>
  <si>
    <t>Note: Utility's Pay Items and Quantities are attached.</t>
  </si>
  <si>
    <t>100% Opinion of Probable Cost Estimate</t>
  </si>
  <si>
    <t>430-175-115</t>
  </si>
  <si>
    <t>PIPE CULV, OPT MATL, ROUND, 15" S/CD</t>
  </si>
  <si>
    <t>327-70-19</t>
  </si>
  <si>
    <t>MILLING EXISTING ASPH PAVEMENT, 3/4" AVERAGE DEPTH</t>
  </si>
  <si>
    <t>337-7-25</t>
  </si>
  <si>
    <t>ASPHALTIC CONCRETE FC, INC BIT, FC-5, PG 76-22</t>
  </si>
  <si>
    <t>P23</t>
  </si>
  <si>
    <t>430-175-248</t>
  </si>
  <si>
    <t>PIPE CULV, OPT MATL, OTHER SHAPE - ELIP/ARCH, 48" S/CD</t>
  </si>
  <si>
    <t>UNDERDRAIN</t>
  </si>
  <si>
    <t>430-963-2</t>
  </si>
  <si>
    <t>PVC PIPE FOR BACK OF SIDEWALK, NON STANDARD DIAMETER</t>
  </si>
  <si>
    <t>MITERED END SECTION, OPTIONAL - ELLIPTICAL / ARCH, 42" SD</t>
  </si>
  <si>
    <t>430-984-640</t>
  </si>
  <si>
    <t>430-984-641</t>
  </si>
  <si>
    <t>MITERED END SECTION, OPTIONAL - ELLIPTICAL / ARCH, 48" SD</t>
  </si>
  <si>
    <t>SY ===&gt;</t>
  </si>
  <si>
    <t>Pond</t>
  </si>
  <si>
    <t>440-1-50</t>
  </si>
  <si>
    <t>715-4-42</t>
  </si>
  <si>
    <t>PRESTRESSED CONCRETE POLE, F&amp;I, TYPE P-II SERVICE POLE (12')</t>
  </si>
  <si>
    <t>LIGHT POLE COMPLETE, FURNISH &amp; INSTALL STANDARD POLE STANDARD FOUNDATION, 40' MOUNTING HEIGHT</t>
  </si>
  <si>
    <t>LIGHT POLE COMPLETE, F&amp;I, UTILITY CONFLICT POLE, SPECIAL FOUNDATION, 35' MOUNTING HEIGHT</t>
  </si>
  <si>
    <t>P24</t>
  </si>
  <si>
    <t>633-1-620</t>
  </si>
  <si>
    <t>FIBER OPTIC CABLE, REMOVE, UNDERGROUND</t>
  </si>
  <si>
    <t>PULL &amp; SPLICE BOX, F&amp;I, 17" x 30" COVER SIZE</t>
  </si>
  <si>
    <t>639-1-420</t>
  </si>
  <si>
    <t>ELECTRICAL POWER SERVICE, RELOCATE, UNDERGROUND</t>
  </si>
  <si>
    <t>639-2-6</t>
  </si>
  <si>
    <t>ELECTRICAL SERVICE WIRE, REMOVE</t>
  </si>
  <si>
    <t>639-4-6</t>
  </si>
  <si>
    <t>EMERGENCY GENERATOR - PORTABLE, INSTALL HOUSING ONLY</t>
  </si>
  <si>
    <t>660-4-60</t>
  </si>
  <si>
    <t>VEHICLE DETECTION SYSTEM- VIDEO, REMOVE</t>
  </si>
  <si>
    <t>676-2-122</t>
  </si>
  <si>
    <t>ITS CABINET, FURNISH &amp; INSTALL, POLE MOUNT WITH SUNSHIELD, 336S, 24" W X 46" H X 22" D</t>
  </si>
  <si>
    <t>676-2-400</t>
  </si>
  <si>
    <t>ITS CABINET, RELOCATE</t>
  </si>
  <si>
    <t>682-1-133</t>
  </si>
  <si>
    <t>ITS CCTV  CAMERA, F&amp;I, DOME ENCLOSURE - NON-PRESSURIZED, IP, HIGH DEFINITION</t>
  </si>
  <si>
    <t>682-1-400</t>
  </si>
  <si>
    <t>ITS CCTV  CAMERA, RELOCATE</t>
  </si>
  <si>
    <t>700-10-400</t>
  </si>
  <si>
    <t>DMS SUPPORT STRUCTURE, RELOCATE</t>
  </si>
  <si>
    <t>676-3-30</t>
  </si>
  <si>
    <t>SMALL EQUIPMENT ENCLOSURE, RELOCATE, &gt;10" W x 13" H x 11" D</t>
  </si>
  <si>
    <t xml:space="preserve">THERMOPLASTIC, STANDARD, WHITE, SOLID, 12" </t>
  </si>
  <si>
    <t>THERMOPLASTIC,PREFORMED, WHITE, MESSAGE (BICYCLE SYMBOL)</t>
  </si>
  <si>
    <t>THERMOPLASTIC, PREFORMED, WHITE, ARROW (BICYCLE ARROW)</t>
  </si>
  <si>
    <t>TOTAL CONSTRUCTION COST CIP 6092560</t>
  </si>
  <si>
    <t>WATER MAIN CIP 6092570</t>
  </si>
  <si>
    <t>SEWER MAIN CIP 6066180</t>
  </si>
  <si>
    <t>RECLAIM WATER MAIN CIP 6092590</t>
  </si>
  <si>
    <t>523-1</t>
  </si>
  <si>
    <t>PATTERNED PAVEMENT, VEHICULAR AREAS (GREEN PAINT)</t>
  </si>
  <si>
    <t>425-1-581</t>
  </si>
  <si>
    <t>INLETS, DT BOT, TYPE H, &lt;10'</t>
  </si>
  <si>
    <t>OPTIONAL BASE, BASE GROUP 01, TYPE B-12.5 (CURB PAD)</t>
  </si>
  <si>
    <t>Note: Unit costs based on FDOT Historical Costs - Current 12 Month (2021/02/01 to 2022/01/31) Moving Averages for Area 8.  Percentages based on values per FDOT Work Program Update Cycle.</t>
  </si>
  <si>
    <t>536-85-24</t>
  </si>
  <si>
    <t>GUARDRAIL END TREATMENT- PARALLEL APPROACH TERMINAL</t>
  </si>
  <si>
    <t>75th Avenue West</t>
  </si>
  <si>
    <t>334-1-53</t>
  </si>
  <si>
    <t>425-2-63</t>
  </si>
  <si>
    <t>711-16-101</t>
  </si>
  <si>
    <t>711-16-201</t>
  </si>
  <si>
    <t>LS / AC</t>
  </si>
  <si>
    <t>THERMOPLASTIC, STANDARD - OTHER SURFACES, WHITE, SOLID, 6"</t>
  </si>
  <si>
    <t>THERMOPLASTIC, STANDARD - OTHER SURFACES, YELLOW, SOLID, 6"</t>
  </si>
  <si>
    <t>PIPE CULVERT, OPTIONAL MATERIAL, ROUND, 18" S/CD</t>
  </si>
  <si>
    <t>700-1-50</t>
  </si>
  <si>
    <t>SINGLE POST SIGN, RELOCATE</t>
  </si>
  <si>
    <t xml:space="preserve">SEDIMENT BARRIER </t>
  </si>
  <si>
    <t>104-15</t>
  </si>
  <si>
    <t>SOIL TRACKING PREVENTION DEVICE</t>
  </si>
  <si>
    <t>CLEARING &amp; GRUBBING</t>
  </si>
  <si>
    <t>STABILIZATION, TYPE B, LBR 60 (12" MIN. THICKNESS)</t>
  </si>
  <si>
    <t>OPTIONAL BASE,BASE GROUP 09 (TYPE B-12.5 ONLY)</t>
  </si>
  <si>
    <t>327-70-1</t>
  </si>
  <si>
    <t>MILLING EXISTING ASPHALT PAVEMENT, 1" AVG DEPTH</t>
  </si>
  <si>
    <t>SUPERPAVE ASPHALTIC CONC, TRAFFIC C, PG 76-22 (2")</t>
  </si>
  <si>
    <t>520-1-7</t>
  </si>
  <si>
    <t>PIPE CULVERT, OPTIONAL MATERIAL, ROUND, 15" S/CD</t>
  </si>
  <si>
    <t>CONCRETE CURB &amp; GUTTER, TYPE E</t>
  </si>
  <si>
    <t>520-2-4</t>
  </si>
  <si>
    <t>CONCRETE CURB &amp; GUTTER, TYPE D</t>
  </si>
  <si>
    <t>520-2-8</t>
  </si>
  <si>
    <t>CONCRETE CURB &amp; GUTTER, TYPE RA</t>
  </si>
  <si>
    <t>CONCRETE SIDEWALK, 4" THICK</t>
  </si>
  <si>
    <t>CONCRETE DRIVEWAYS, 6" THICK</t>
  </si>
  <si>
    <t>654-2-21</t>
  </si>
  <si>
    <t>MIDBLOCK CROSSWALK: RECTANGULAR RAPID FLASHING BEACON, FURNISH &amp; INSTALL - SOLAR, COMPLETE SIGN ASSY- SINGLE DIRECTION</t>
  </si>
  <si>
    <t>654-2-22</t>
  </si>
  <si>
    <t>MIDBLOCK CROSSWALK: RECTANGULAR RAPID FLASHING BEACON, FURNISH &amp; INSTALL - SOLAR, COMPLETE SIGN ASSY- BACK TO BACK</t>
  </si>
  <si>
    <t>700-1-60</t>
  </si>
  <si>
    <t>SINGLE POST SIGN, REMOVE</t>
  </si>
  <si>
    <t>706-1-3</t>
  </si>
  <si>
    <t xml:space="preserve">RAISED PAVEMENT MARKER, TYPE B </t>
  </si>
  <si>
    <t xml:space="preserve">THERMOPLASTIC, STANDARD, WHITE, SOLID, 12" FOR CROSSWALK </t>
  </si>
  <si>
    <t xml:space="preserve">THERMOPLASTIC, STANDARD, WHITE, SOLID, 24" FOR STOP LINE </t>
  </si>
  <si>
    <t>THERMOPLASTIC, STANDARD, WHITE, 2-4 DOTTED GUIDELINE, 6"</t>
  </si>
  <si>
    <t>711-11-144</t>
  </si>
  <si>
    <t>THERMOPLASTIC, STANDRAD, WHITE, 2-2 DOTTED EXTENSION LINE, 12" FOR ROUNDABOUT</t>
  </si>
  <si>
    <t>THERMOPLASTIC, STANDARD, YELLOW, SOLID, 18" FOR DIAGONALS AND CHEVRONS</t>
  </si>
  <si>
    <t>LIGHTING CONDUCTORS, F&amp;I, INSULATED, NO. 8 - 6</t>
  </si>
  <si>
    <t>715-4-12</t>
  </si>
  <si>
    <t>LIGHT POLE COMPLETE, FURNISH &amp; INSTALL STANDARD POLE STANDARD FOUNDATION, 35' MOUNTING HEIGHT</t>
  </si>
  <si>
    <t>UTILITIES COMPONENT</t>
  </si>
  <si>
    <t>UTILITIES COMPONENT SUB-TOTAL</t>
  </si>
  <si>
    <t>ADJUST MH RIM &amp; COVER</t>
  </si>
  <si>
    <t>INLETS, DITCH BOTTOM, TYPE D, &lt;10'</t>
  </si>
  <si>
    <t>425-2-41</t>
  </si>
  <si>
    <t>MANHOLES, P-7, &lt;10'</t>
  </si>
  <si>
    <t>425-2-43</t>
  </si>
  <si>
    <t>MANHOLES, P-7, PARTIAL</t>
  </si>
  <si>
    <t>GUARDRAIL REMOVAL</t>
  </si>
  <si>
    <t>536-1-0</t>
  </si>
  <si>
    <t>GUARDRAIL - ROADWAY, GENERAL/LOW SPEED TL-2</t>
  </si>
  <si>
    <t>536-8-111</t>
  </si>
  <si>
    <t>GUARDRAIL TRANSITION CONNECTION TO RIGID BARRIER, F&amp;I, APPROACH TL-2</t>
  </si>
  <si>
    <t>536-8-123</t>
  </si>
  <si>
    <t>GUARDRAIL TRANSITION CONNECTION TO RIGID BARRIER, F&amp;I, TRAILING</t>
  </si>
  <si>
    <t>536-85-20</t>
  </si>
  <si>
    <t>GUARDRAIL END TREATMENT - TRAILING ANCHORAGE</t>
  </si>
  <si>
    <t>536-85-26</t>
  </si>
  <si>
    <t>GUARDRAIL END TREATMENT - TYPE CRT</t>
  </si>
  <si>
    <t>536-73</t>
  </si>
  <si>
    <t>MULTI-POST SIGN, F&amp;I GROUND MOUNT, 31-50 SF</t>
  </si>
  <si>
    <t>THERMOPLASTIC, STANDARD, WHITE, MESSAGE OR SYMBOL</t>
  </si>
  <si>
    <t>581-1-1</t>
  </si>
  <si>
    <t>RELOCATE TREES AND PALMS, PALM, &gt;= 14' OF CLEAR TRUNK</t>
  </si>
  <si>
    <t>581-1-3</t>
  </si>
  <si>
    <t>RELOCATE TREES AND PALMS, MULTI-TRUNK OR CLUSTERING</t>
  </si>
  <si>
    <t>RELOCATE TREES AND PALMS, TREES, &gt;= 5" DIAMETER AT BREAST HEIGHT</t>
  </si>
  <si>
    <t>12" CUT IN CONNECTION</t>
  </si>
  <si>
    <t>16" CUT IN CONNECTION</t>
  </si>
  <si>
    <t>1010-012</t>
  </si>
  <si>
    <t>1010-016</t>
  </si>
  <si>
    <t>1050-16001</t>
  </si>
  <si>
    <t>1050-16003</t>
  </si>
  <si>
    <t>1050-16004</t>
  </si>
  <si>
    <t>1050-51212</t>
  </si>
  <si>
    <t>1050-51216</t>
  </si>
  <si>
    <t>1055-51112</t>
  </si>
  <si>
    <t>1055-51116</t>
  </si>
  <si>
    <t>1055-52112</t>
  </si>
  <si>
    <t>1055-52116</t>
  </si>
  <si>
    <t>1055-53112</t>
  </si>
  <si>
    <t>1055-54306</t>
  </si>
  <si>
    <t>1055-54312</t>
  </si>
  <si>
    <t>1055-55212</t>
  </si>
  <si>
    <t>1080-21101</t>
  </si>
  <si>
    <t>1080-24112</t>
  </si>
  <si>
    <t>1644-900</t>
  </si>
  <si>
    <t>1644-113</t>
  </si>
  <si>
    <t>1800-1000</t>
  </si>
  <si>
    <t>1800-1100</t>
  </si>
  <si>
    <t>1800-1200</t>
  </si>
  <si>
    <t>1.5" WM SERVICE REMOVAL</t>
  </si>
  <si>
    <t>UTILITY PIPE, REMOVE &amp; DISPOSE, 12"</t>
  </si>
  <si>
    <t>UTILITY PIPE, REMOVE &amp; DISPOSE, 16"</t>
  </si>
  <si>
    <t>12" CL350 DIP WATERMAIN</t>
  </si>
  <si>
    <t>16" CL350 DIP WATERMAIN</t>
  </si>
  <si>
    <t>UTILITY FITTINGS, 12" -90 DEG MJ BEND (RJ)</t>
  </si>
  <si>
    <t>UTILITY FITTINGS, 16"- 90 DEG MJ BEND (RJ)</t>
  </si>
  <si>
    <t>UTILITY FITTINGS, 12"-45 DEG MJ BEND (RJ)</t>
  </si>
  <si>
    <t>UTILITY FITTINGS, 16"-45 DEG MJ BEND (RJ)</t>
  </si>
  <si>
    <t>UTILITY FITTINGS, 12"-22.5 DEG MJ BEND (RJ)</t>
  </si>
  <si>
    <t>UTILITY FITTINGS, 12"X6" MJ REDUCER (RJ)</t>
  </si>
  <si>
    <t>UTILITY FITTINGS, 16"X12" MJ REDUCER (RJ)</t>
  </si>
  <si>
    <t>UTILITY FITTINGS, 12"X12" MJ CROSS (RJ)</t>
  </si>
  <si>
    <t>POTABLE WATER SERVICE, 1.5", SCH 80</t>
  </si>
  <si>
    <t>UTILITY FIXTURE - 12" GV W/BOX, PAD, ID &amp; TRACER</t>
  </si>
  <si>
    <t>FIRE HYDRANT, REMOVE</t>
  </si>
  <si>
    <t>FIRE HYDRANT ASSEMBLY, COMPLETE</t>
  </si>
  <si>
    <t>ADJUST VALVE</t>
  </si>
  <si>
    <t>RELOCATE EXISTING WATER METER, BOX &amp; BACKFLOW PREVENTION DEVICE</t>
  </si>
  <si>
    <t>327-70-4</t>
  </si>
  <si>
    <t>MILLING EXISTING ASPHALT PAVEMENT, 3" AVG DEPTH</t>
  </si>
  <si>
    <t>MANHOLES, P-8, PARTIAL</t>
  </si>
  <si>
    <t>ASPH CONC FC,TRAFFIC C, FC-9.5, PG 76-22 (1")</t>
  </si>
  <si>
    <t>337-7-82</t>
  </si>
  <si>
    <t>PIPE CULVERT, OPTIONAL MATERIAL, OTHER-ELIP/ARCH, 15" S/CD</t>
  </si>
  <si>
    <t>350-30-13</t>
  </si>
  <si>
    <t>CONCRETE PAVEMENT FOR ROUNDABOUT APRON, 12" DEPTH</t>
  </si>
  <si>
    <t>550-10-918</t>
  </si>
  <si>
    <t>FENCING, SPECIAL TYPE, 0.0-5.0', RESET EXISTING</t>
  </si>
  <si>
    <t>580-1-1</t>
  </si>
  <si>
    <t>LANDSCAPE COMPLETE - SMALL PLANTS</t>
  </si>
  <si>
    <t>700-2-50</t>
  </si>
  <si>
    <t>MULTI-POST SIGN, GROUND MOUNT, RELOCATE (HOA SIGNS)</t>
  </si>
  <si>
    <t>581-1-4</t>
  </si>
  <si>
    <t>751-44-1</t>
  </si>
  <si>
    <t>715-11-438</t>
  </si>
  <si>
    <t>LUMINAIR, RELOCATE, SIGN, FLOOD</t>
  </si>
  <si>
    <t>1050-31-211</t>
  </si>
  <si>
    <t>UTILITY PIPE - POLY VINYL CHLORIDE, F&amp;I, WATER/SEWER, 1"</t>
  </si>
  <si>
    <t>FLAG POLE, UP TO 25' (EXISTING HOA FLAG POLE)</t>
  </si>
  <si>
    <t>1000-10</t>
  </si>
  <si>
    <t>1000-20</t>
  </si>
  <si>
    <t>1000-30</t>
  </si>
  <si>
    <t>1000-40</t>
  </si>
  <si>
    <t>PRESSURE TEST</t>
  </si>
  <si>
    <t>CHLORINATION</t>
  </si>
  <si>
    <t>CONTRACTOR ASBUILTS</t>
  </si>
  <si>
    <t>MOBILIZATION (UTILITY CONTRACTOR)</t>
  </si>
  <si>
    <t>591-1-400</t>
  </si>
  <si>
    <t>IRRIGATION SLEEVE, 4" DIAMETER</t>
  </si>
  <si>
    <t>IFBC 24-TA005076JH HONORE AVENUE AT OLD FARM ROAD INTERSECTION IMPROVEMENTS</t>
  </si>
  <si>
    <t>Bidders must provide prices for each available line item on each tab for their bid to be considered responsive</t>
  </si>
  <si>
    <t>*To be considered responsive, it is the sole responsibility of the bidder to correctly calculate and manually enter all sub-total, contingency, and total bid price fields*</t>
  </si>
  <si>
    <t>BIDDER NAME___________________________________________________________________</t>
  </si>
  <si>
    <t>BIDDER SIGNATURE______________________________________________________________</t>
  </si>
  <si>
    <t>CONTRACT CONTINGENCY (USED ONLY WITH COUNTY APPROVAL)</t>
  </si>
  <si>
    <r>
      <t>BID</t>
    </r>
    <r>
      <rPr>
        <b/>
        <sz val="12"/>
        <color indexed="10"/>
        <rFont val="Times New Roman"/>
        <family val="1"/>
      </rPr>
      <t xml:space="preserve"> A 430 </t>
    </r>
    <r>
      <rPr>
        <b/>
        <sz val="12"/>
        <rFont val="Times New Roman"/>
        <family val="1"/>
      </rPr>
      <t>CALENDAR DAYS</t>
    </r>
  </si>
  <si>
    <r>
      <t>BID</t>
    </r>
    <r>
      <rPr>
        <b/>
        <sz val="12"/>
        <color indexed="10"/>
        <rFont val="Times New Roman"/>
        <family val="1"/>
      </rPr>
      <t xml:space="preserve"> B 340 </t>
    </r>
    <r>
      <rPr>
        <b/>
        <sz val="12"/>
        <rFont val="Times New Roman"/>
        <family val="1"/>
      </rPr>
      <t>CALENDAR DAYS</t>
    </r>
  </si>
  <si>
    <t>Subtotal Price ( Total Roadway Component, Signing and Pavement Markings Component, Signalization Component, Lighting Component, Utilities Component)</t>
  </si>
  <si>
    <t>TOTAL BID PRICE ( SUBTOTAL PRICE PLUS THE CONSTRUCTION CONTINGENCY)</t>
  </si>
  <si>
    <t>UNIT PRICE</t>
  </si>
  <si>
    <t>MOBILIZATION (FDOT 101-1)</t>
  </si>
  <si>
    <t>MAINTENANCE OF TRAFFIC (FDOT 102-1)</t>
  </si>
  <si>
    <r>
      <t>APPENDIX L, BID PRICING FORM (</t>
    </r>
    <r>
      <rPr>
        <b/>
        <sz val="12"/>
        <color indexed="10"/>
        <rFont val="Times New Roman"/>
        <family val="1"/>
      </rPr>
      <t>REVISED</t>
    </r>
    <r>
      <rPr>
        <b/>
        <sz val="12"/>
        <rFont val="Times New Roman"/>
        <family val="1"/>
      </rPr>
      <t>)</t>
    </r>
  </si>
  <si>
    <t>PIPE CULVERT, OPTIONAL MATERIAL, OTHER SHAPE-ELLIP/ARCH, 18"SD</t>
  </si>
  <si>
    <t>Added</t>
  </si>
  <si>
    <t>Updated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</si>
</sst>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.0%"/>
    <numFmt numFmtId="167" formatCode="&quot;$&quot;#,##0"/>
    <numFmt numFmtId="168" formatCode="&quot;$&quot;#,##0.00"/>
    <numFmt numFmtId="169" formatCode="0.000"/>
    <numFmt numFmtId="170" formatCode="0.0"/>
    <numFmt numFmtId="171" formatCode="0.0000"/>
    <numFmt numFmtId="172" formatCode="General_)"/>
    <numFmt numFmtId="173" formatCode="[$-409]d\-mmm\-yy;@"/>
    <numFmt numFmtId="174" formatCode="mm/dd/yy"/>
    <numFmt numFmtId="175" formatCode="#,##0.0"/>
    <numFmt numFmtId="176" formatCode="m/d/yy;@"/>
    <numFmt numFmtId="177" formatCode="_(* #,##0.0_);_(* \(#,##0.0\);_(* &quot;-&quot;??_);_(@_)"/>
    <numFmt numFmtId="178" formatCode="_(* #,##0_);_(* \(#,##0\);_(* &quot;-&quot;??_);_(@_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[$-409]dddd\,\ mmmm\ d\,\ yyyy"/>
    <numFmt numFmtId="187" formatCode="[$-409]h:mm:ss\ AM/PM"/>
    <numFmt numFmtId="188" formatCode="0.0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"/>
    <numFmt numFmtId="194" formatCode="&quot;$&quot;#,##0.000_);\(&quot;$&quot;#,##0.000\)"/>
    <numFmt numFmtId="195" formatCode="\$#,##0.00"/>
  </numFmts>
  <fonts count="68">
    <font>
      <sz val="12"/>
      <name val="TimesNewRomanPS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imesNewRomanPS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trike/>
      <sz val="12"/>
      <name val="Times New Roman"/>
      <family val="1"/>
    </font>
    <font>
      <u val="single"/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NewRomanP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NewRomanP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NewRomanP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NewRomanP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NewRomanP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8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9" applyNumberFormat="0" applyFont="0" applyAlignment="0" applyProtection="0"/>
    <xf numFmtId="0" fontId="59" fillId="27" borderId="10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4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2" fontId="4" fillId="0" borderId="0" xfId="0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3" fillId="10" borderId="12" xfId="0" applyFont="1" applyFill="1" applyBorder="1" applyAlignment="1" applyProtection="1">
      <alignment/>
      <protection/>
    </xf>
    <xf numFmtId="0" fontId="3" fillId="10" borderId="12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7" fontId="5" fillId="0" borderId="18" xfId="44" applyNumberFormat="1" applyFont="1" applyBorder="1" applyAlignment="1">
      <alignment/>
    </xf>
    <xf numFmtId="7" fontId="5" fillId="0" borderId="16" xfId="0" applyNumberFormat="1" applyFont="1" applyFill="1" applyBorder="1" applyAlignment="1" applyProtection="1">
      <alignment vertical="center"/>
      <protection/>
    </xf>
    <xf numFmtId="7" fontId="5" fillId="0" borderId="19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7" fontId="5" fillId="0" borderId="23" xfId="44" applyNumberFormat="1" applyFont="1" applyBorder="1" applyAlignment="1">
      <alignment vertical="center"/>
    </xf>
    <xf numFmtId="7" fontId="5" fillId="0" borderId="21" xfId="0" applyNumberFormat="1" applyFont="1" applyFill="1" applyBorder="1" applyAlignment="1" applyProtection="1">
      <alignment vertical="center"/>
      <protection/>
    </xf>
    <xf numFmtId="7" fontId="5" fillId="0" borderId="24" xfId="0" applyNumberFormat="1" applyFont="1" applyBorder="1" applyAlignment="1" applyProtection="1">
      <alignment vertical="center"/>
      <protection/>
    </xf>
    <xf numFmtId="9" fontId="5" fillId="0" borderId="20" xfId="0" applyNumberFormat="1" applyFont="1" applyBorder="1" applyAlignment="1" applyProtection="1">
      <alignment vertical="center"/>
      <protection/>
    </xf>
    <xf numFmtId="7" fontId="5" fillId="0" borderId="21" xfId="0" applyNumberFormat="1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left" vertical="center"/>
      <protection locked="0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2" xfId="42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7" fontId="5" fillId="0" borderId="0" xfId="44" applyNumberFormat="1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7" fontId="5" fillId="0" borderId="21" xfId="0" applyNumberFormat="1" applyFont="1" applyBorder="1" applyAlignment="1" applyProtection="1">
      <alignment vertical="center"/>
      <protection locked="0"/>
    </xf>
    <xf numFmtId="44" fontId="5" fillId="0" borderId="0" xfId="44" applyFont="1" applyAlignment="1">
      <alignment vertical="center"/>
    </xf>
    <xf numFmtId="168" fontId="5" fillId="0" borderId="0" xfId="0" applyNumberFormat="1" applyFont="1" applyAlignment="1" applyProtection="1">
      <alignment/>
      <protection/>
    </xf>
    <xf numFmtId="0" fontId="5" fillId="0" borderId="0" xfId="0" applyFont="1" applyAlignment="1" quotePrefix="1">
      <alignment horizontal="left"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7" fontId="3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1" fontId="5" fillId="0" borderId="0" xfId="0" applyNumberFormat="1" applyFont="1" applyAlignment="1">
      <alignment/>
    </xf>
    <xf numFmtId="10" fontId="5" fillId="33" borderId="0" xfId="0" applyNumberFormat="1" applyFont="1" applyFill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0" fontId="7" fillId="13" borderId="25" xfId="0" applyFont="1" applyFill="1" applyBorder="1" applyAlignment="1" applyProtection="1">
      <alignment vertical="center"/>
      <protection/>
    </xf>
    <xf numFmtId="0" fontId="7" fillId="13" borderId="26" xfId="0" applyFont="1" applyFill="1" applyBorder="1" applyAlignment="1" applyProtection="1">
      <alignment vertical="center"/>
      <protection/>
    </xf>
    <xf numFmtId="7" fontId="7" fillId="13" borderId="27" xfId="0" applyNumberFormat="1" applyFont="1" applyFill="1" applyBorder="1" applyAlignment="1" applyProtection="1">
      <alignment vertical="center"/>
      <protection/>
    </xf>
    <xf numFmtId="0" fontId="7" fillId="13" borderId="26" xfId="0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>
      <alignment horizontal="right" vertical="center"/>
    </xf>
    <xf numFmtId="7" fontId="5" fillId="0" borderId="23" xfId="44" applyNumberFormat="1" applyFont="1" applyFill="1" applyBorder="1" applyAlignment="1">
      <alignment vertical="center"/>
    </xf>
    <xf numFmtId="175" fontId="5" fillId="0" borderId="22" xfId="42" applyNumberFormat="1" applyFont="1" applyFill="1" applyBorder="1" applyAlignment="1" applyProtection="1">
      <alignment horizontal="center" vertical="center"/>
      <protection locked="0"/>
    </xf>
    <xf numFmtId="170" fontId="5" fillId="0" borderId="22" xfId="0" applyNumberFormat="1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Alignment="1">
      <alignment/>
    </xf>
    <xf numFmtId="7" fontId="5" fillId="0" borderId="0" xfId="0" applyNumberFormat="1" applyFont="1" applyBorder="1" applyAlignment="1">
      <alignment vertical="center"/>
    </xf>
    <xf numFmtId="44" fontId="5" fillId="0" borderId="0" xfId="44" applyFont="1" applyBorder="1" applyAlignment="1">
      <alignment vertical="center"/>
    </xf>
    <xf numFmtId="0" fontId="63" fillId="0" borderId="0" xfId="0" applyFont="1" applyAlignment="1">
      <alignment vertical="center"/>
    </xf>
    <xf numFmtId="9" fontId="64" fillId="0" borderId="0" xfId="0" applyNumberFormat="1" applyFont="1" applyAlignment="1">
      <alignment vertical="center"/>
    </xf>
    <xf numFmtId="7" fontId="5" fillId="0" borderId="0" xfId="0" applyNumberFormat="1" applyFont="1" applyAlignment="1">
      <alignment vertical="center"/>
    </xf>
    <xf numFmtId="0" fontId="3" fillId="10" borderId="28" xfId="0" applyFont="1" applyFill="1" applyBorder="1" applyAlignment="1" applyProtection="1">
      <alignment/>
      <protection/>
    </xf>
    <xf numFmtId="0" fontId="3" fillId="10" borderId="29" xfId="0" applyFont="1" applyFill="1" applyBorder="1" applyAlignment="1" applyProtection="1">
      <alignment/>
      <protection/>
    </xf>
    <xf numFmtId="0" fontId="3" fillId="10" borderId="30" xfId="0" applyFont="1" applyFill="1" applyBorder="1" applyAlignment="1" applyProtection="1">
      <alignment/>
      <protection/>
    </xf>
    <xf numFmtId="0" fontId="3" fillId="10" borderId="29" xfId="0" applyFont="1" applyFill="1" applyBorder="1" applyAlignment="1" applyProtection="1">
      <alignment horizontal="center"/>
      <protection/>
    </xf>
    <xf numFmtId="0" fontId="3" fillId="10" borderId="30" xfId="0" applyFont="1" applyFill="1" applyBorder="1" applyAlignment="1" applyProtection="1">
      <alignment horizontal="center"/>
      <protection/>
    </xf>
    <xf numFmtId="0" fontId="3" fillId="10" borderId="31" xfId="0" applyFont="1" applyFill="1" applyBorder="1" applyAlignment="1" applyProtection="1">
      <alignment/>
      <protection/>
    </xf>
    <xf numFmtId="0" fontId="3" fillId="10" borderId="3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7" fontId="5" fillId="0" borderId="33" xfId="0" applyNumberFormat="1" applyFont="1" applyBorder="1" applyAlignment="1" applyProtection="1">
      <alignment vertical="center"/>
      <protection/>
    </xf>
    <xf numFmtId="7" fontId="5" fillId="0" borderId="34" xfId="0" applyNumberFormat="1" applyFont="1" applyBorder="1" applyAlignment="1" applyProtection="1">
      <alignment vertical="center"/>
      <protection/>
    </xf>
    <xf numFmtId="7" fontId="63" fillId="0" borderId="23" xfId="44" applyNumberFormat="1" applyFont="1" applyFill="1" applyBorder="1" applyAlignment="1">
      <alignment vertical="center"/>
    </xf>
    <xf numFmtId="0" fontId="5" fillId="0" borderId="0" xfId="44" applyNumberFormat="1" applyFont="1" applyAlignment="1">
      <alignment vertical="center"/>
    </xf>
    <xf numFmtId="193" fontId="5" fillId="0" borderId="22" xfId="42" applyNumberFormat="1" applyFont="1" applyFill="1" applyBorder="1" applyAlignment="1" applyProtection="1">
      <alignment horizontal="center" vertical="center"/>
      <protection locked="0"/>
    </xf>
    <xf numFmtId="7" fontId="5" fillId="0" borderId="18" xfId="44" applyNumberFormat="1" applyFont="1" applyBorder="1" applyAlignment="1">
      <alignment vertical="center"/>
    </xf>
    <xf numFmtId="0" fontId="5" fillId="0" borderId="0" xfId="44" applyNumberFormat="1" applyFont="1" applyAlignment="1">
      <alignment horizontal="center" vertical="center"/>
    </xf>
    <xf numFmtId="0" fontId="5" fillId="0" borderId="35" xfId="44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9" fontId="64" fillId="0" borderId="35" xfId="0" applyNumberFormat="1" applyFont="1" applyBorder="1" applyAlignment="1">
      <alignment vertical="center"/>
    </xf>
    <xf numFmtId="0" fontId="5" fillId="0" borderId="35" xfId="0" applyFont="1" applyBorder="1" applyAlignment="1">
      <alignment/>
    </xf>
    <xf numFmtId="7" fontId="5" fillId="0" borderId="35" xfId="0" applyNumberFormat="1" applyFont="1" applyBorder="1" applyAlignment="1">
      <alignment vertical="center"/>
    </xf>
    <xf numFmtId="0" fontId="5" fillId="0" borderId="35" xfId="44" applyNumberFormat="1" applyFont="1" applyBorder="1" applyAlignment="1">
      <alignment vertical="center"/>
    </xf>
    <xf numFmtId="0" fontId="5" fillId="34" borderId="0" xfId="0" applyFont="1" applyFill="1" applyAlignment="1">
      <alignment wrapText="1"/>
    </xf>
    <xf numFmtId="0" fontId="3" fillId="0" borderId="0" xfId="0" applyFont="1" applyAlignment="1">
      <alignment horizontal="right"/>
    </xf>
    <xf numFmtId="166" fontId="6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13" borderId="26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0" xfId="44" applyNumberFormat="1" applyFont="1" applyBorder="1" applyAlignment="1">
      <alignment vertical="center"/>
    </xf>
    <xf numFmtId="9" fontId="5" fillId="0" borderId="12" xfId="0" applyNumberFormat="1" applyFont="1" applyBorder="1" applyAlignment="1" applyProtection="1">
      <alignment vertical="center"/>
      <protection/>
    </xf>
    <xf numFmtId="7" fontId="5" fillId="0" borderId="12" xfId="0" applyNumberFormat="1" applyFont="1" applyBorder="1" applyAlignment="1" applyProtection="1">
      <alignment vertical="center"/>
      <protection/>
    </xf>
    <xf numFmtId="7" fontId="5" fillId="0" borderId="36" xfId="0" applyNumberFormat="1" applyFont="1" applyBorder="1" applyAlignment="1" applyProtection="1">
      <alignment vertical="center"/>
      <protection/>
    </xf>
    <xf numFmtId="7" fontId="5" fillId="0" borderId="37" xfId="0" applyNumberFormat="1" applyFont="1" applyBorder="1" applyAlignment="1" applyProtection="1">
      <alignment vertical="center"/>
      <protection/>
    </xf>
    <xf numFmtId="7" fontId="63" fillId="0" borderId="21" xfId="0" applyNumberFormat="1" applyFont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3" fontId="5" fillId="0" borderId="38" xfId="42" applyNumberFormat="1" applyFont="1" applyFill="1" applyBorder="1" applyAlignment="1" applyProtection="1">
      <alignment horizontal="center" vertical="center"/>
      <protection locked="0"/>
    </xf>
    <xf numFmtId="7" fontId="5" fillId="0" borderId="38" xfId="0" applyNumberFormat="1" applyFont="1" applyFill="1" applyBorder="1" applyAlignment="1" applyProtection="1">
      <alignment vertical="center"/>
      <protection/>
    </xf>
    <xf numFmtId="44" fontId="3" fillId="0" borderId="0" xfId="44" applyFont="1" applyAlignment="1">
      <alignment vertical="center"/>
    </xf>
    <xf numFmtId="1" fontId="5" fillId="0" borderId="20" xfId="0" applyNumberFormat="1" applyFont="1" applyBorder="1" applyAlignment="1" applyProtection="1">
      <alignment vertical="center"/>
      <protection/>
    </xf>
    <xf numFmtId="7" fontId="5" fillId="0" borderId="20" xfId="0" applyNumberFormat="1" applyFont="1" applyBorder="1" applyAlignment="1" applyProtection="1">
      <alignment vertical="center"/>
      <protection/>
    </xf>
    <xf numFmtId="7" fontId="3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7" fontId="5" fillId="0" borderId="18" xfId="44" applyNumberFormat="1" applyFont="1" applyFill="1" applyBorder="1" applyAlignment="1">
      <alignment/>
    </xf>
    <xf numFmtId="7" fontId="5" fillId="0" borderId="19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4" fontId="5" fillId="0" borderId="0" xfId="44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35" xfId="44" applyNumberFormat="1" applyFont="1" applyFill="1" applyBorder="1" applyAlignment="1">
      <alignment horizontal="center" vertical="center"/>
    </xf>
    <xf numFmtId="0" fontId="5" fillId="0" borderId="0" xfId="44" applyNumberFormat="1" applyFont="1" applyFill="1" applyBorder="1" applyAlignment="1">
      <alignment horizontal="center" vertical="center"/>
    </xf>
    <xf numFmtId="0" fontId="5" fillId="0" borderId="0" xfId="44" applyNumberFormat="1" applyFont="1" applyFill="1" applyAlignment="1">
      <alignment horizontal="center" vertical="center"/>
    </xf>
    <xf numFmtId="7" fontId="5" fillId="0" borderId="24" xfId="0" applyNumberFormat="1" applyFont="1" applyFill="1" applyBorder="1" applyAlignment="1" applyProtection="1">
      <alignment vertical="center"/>
      <protection/>
    </xf>
    <xf numFmtId="9" fontId="5" fillId="0" borderId="2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7" fontId="5" fillId="0" borderId="0" xfId="0" applyNumberFormat="1" applyFont="1" applyFill="1" applyBorder="1" applyAlignment="1">
      <alignment vertical="center"/>
    </xf>
    <xf numFmtId="0" fontId="5" fillId="0" borderId="0" xfId="44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 applyProtection="1">
      <alignment vertical="center"/>
      <protection/>
    </xf>
    <xf numFmtId="7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3" fontId="5" fillId="0" borderId="40" xfId="42" applyNumberFormat="1" applyFont="1" applyFill="1" applyBorder="1" applyAlignment="1" applyProtection="1">
      <alignment horizontal="center" vertical="center"/>
      <protection locked="0"/>
    </xf>
    <xf numFmtId="7" fontId="5" fillId="0" borderId="39" xfId="0" applyNumberFormat="1" applyFont="1" applyFill="1" applyBorder="1" applyAlignment="1" applyProtection="1">
      <alignment vertical="center"/>
      <protection/>
    </xf>
    <xf numFmtId="7" fontId="5" fillId="0" borderId="41" xfId="0" applyNumberFormat="1" applyFont="1" applyBorder="1" applyAlignment="1" applyProtection="1">
      <alignment vertical="center"/>
      <protection/>
    </xf>
    <xf numFmtId="7" fontId="5" fillId="0" borderId="3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44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35" xfId="44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 applyProtection="1">
      <alignment vertical="center"/>
      <protection/>
    </xf>
    <xf numFmtId="0" fontId="5" fillId="0" borderId="0" xfId="44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applyProtection="1">
      <alignment horizontal="center"/>
      <protection/>
    </xf>
    <xf numFmtId="7" fontId="5" fillId="0" borderId="0" xfId="44" applyNumberFormat="1" applyFont="1" applyFill="1" applyBorder="1" applyAlignment="1">
      <alignment vertical="center"/>
    </xf>
    <xf numFmtId="44" fontId="5" fillId="0" borderId="0" xfId="44" applyFont="1" applyFill="1" applyAlignment="1">
      <alignment vertical="center"/>
    </xf>
    <xf numFmtId="7" fontId="63" fillId="0" borderId="21" xfId="0" applyNumberFormat="1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9" fontId="5" fillId="0" borderId="43" xfId="0" applyNumberFormat="1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7" fontId="5" fillId="0" borderId="42" xfId="0" applyNumberFormat="1" applyFont="1" applyFill="1" applyBorder="1" applyAlignment="1" applyProtection="1">
      <alignment horizontal="center" vertical="center"/>
      <protection/>
    </xf>
    <xf numFmtId="7" fontId="5" fillId="0" borderId="42" xfId="0" applyNumberFormat="1" applyFont="1" applyFill="1" applyBorder="1" applyAlignment="1" applyProtection="1">
      <alignment vertical="center"/>
      <protection/>
    </xf>
    <xf numFmtId="7" fontId="5" fillId="0" borderId="45" xfId="0" applyNumberFormat="1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5" fillId="0" borderId="0" xfId="0" applyFont="1" applyAlignment="1" applyProtection="1" quotePrefix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7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168" fontId="16" fillId="0" borderId="0" xfId="0" applyNumberFormat="1" applyFont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10" fontId="16" fillId="33" borderId="0" xfId="0" applyNumberFormat="1" applyFont="1" applyFill="1" applyAlignment="1" applyProtection="1">
      <alignment/>
      <protection/>
    </xf>
    <xf numFmtId="167" fontId="16" fillId="0" borderId="0" xfId="0" applyNumberFormat="1" applyFont="1" applyAlignment="1" applyProtection="1">
      <alignment/>
      <protection/>
    </xf>
    <xf numFmtId="0" fontId="14" fillId="2" borderId="12" xfId="0" applyFont="1" applyFill="1" applyBorder="1" applyAlignment="1" applyProtection="1">
      <alignment horizontal="center"/>
      <protection/>
    </xf>
    <xf numFmtId="0" fontId="14" fillId="2" borderId="47" xfId="0" applyFont="1" applyFill="1" applyBorder="1" applyAlignment="1" applyProtection="1">
      <alignment vertical="center"/>
      <protection/>
    </xf>
    <xf numFmtId="0" fontId="14" fillId="2" borderId="20" xfId="0" applyFont="1" applyFill="1" applyBorder="1" applyAlignment="1" applyProtection="1">
      <alignment vertical="center"/>
      <protection/>
    </xf>
    <xf numFmtId="0" fontId="14" fillId="2" borderId="22" xfId="0" applyFont="1" applyFill="1" applyBorder="1" applyAlignment="1" applyProtection="1">
      <alignment vertical="center"/>
      <protection/>
    </xf>
    <xf numFmtId="0" fontId="14" fillId="2" borderId="22" xfId="0" applyFont="1" applyFill="1" applyBorder="1" applyAlignment="1" applyProtection="1">
      <alignment horizontal="center"/>
      <protection/>
    </xf>
    <xf numFmtId="0" fontId="14" fillId="2" borderId="20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48" xfId="0" applyFont="1" applyFill="1" applyBorder="1" applyAlignment="1" applyProtection="1">
      <alignment horizontal="center"/>
      <protection/>
    </xf>
    <xf numFmtId="44" fontId="14" fillId="13" borderId="21" xfId="0" applyNumberFormat="1" applyFont="1" applyFill="1" applyBorder="1" applyAlignment="1" applyProtection="1">
      <alignment vertical="center"/>
      <protection/>
    </xf>
    <xf numFmtId="44" fontId="14" fillId="13" borderId="20" xfId="0" applyNumberFormat="1" applyFont="1" applyFill="1" applyBorder="1" applyAlignment="1" applyProtection="1">
      <alignment vertical="center"/>
      <protection/>
    </xf>
    <xf numFmtId="44" fontId="14" fillId="13" borderId="22" xfId="0" applyNumberFormat="1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7" fontId="14" fillId="0" borderId="0" xfId="0" applyNumberFormat="1" applyFont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 horizontal="center"/>
      <protection/>
    </xf>
    <xf numFmtId="0" fontId="14" fillId="0" borderId="49" xfId="0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7" fontId="16" fillId="0" borderId="17" xfId="0" applyNumberFormat="1" applyFont="1" applyBorder="1" applyAlignment="1" applyProtection="1">
      <alignment vertical="center"/>
      <protection/>
    </xf>
    <xf numFmtId="7" fontId="16" fillId="0" borderId="21" xfId="0" applyNumberFormat="1" applyFont="1" applyBorder="1" applyAlignment="1" applyProtection="1">
      <alignment vertical="center"/>
      <protection/>
    </xf>
    <xf numFmtId="4" fontId="14" fillId="35" borderId="21" xfId="0" applyNumberFormat="1" applyFont="1" applyFill="1" applyBorder="1" applyAlignment="1" applyProtection="1">
      <alignment horizontal="right" vertical="center" indent="1"/>
      <protection/>
    </xf>
    <xf numFmtId="4" fontId="14" fillId="2" borderId="48" xfId="0" applyNumberFormat="1" applyFont="1" applyFill="1" applyBorder="1" applyAlignment="1" applyProtection="1">
      <alignment horizontal="center"/>
      <protection/>
    </xf>
    <xf numFmtId="4" fontId="16" fillId="35" borderId="21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right"/>
      <protection/>
    </xf>
    <xf numFmtId="166" fontId="16" fillId="0" borderId="0" xfId="0" applyNumberFormat="1" applyFont="1" applyAlignment="1" applyProtection="1">
      <alignment horizontal="left"/>
      <protection/>
    </xf>
    <xf numFmtId="10" fontId="17" fillId="0" borderId="0" xfId="0" applyNumberFormat="1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36" borderId="21" xfId="0" applyFont="1" applyFill="1" applyBorder="1" applyAlignment="1" applyProtection="1">
      <alignment horizontal="center" vertical="center"/>
      <protection/>
    </xf>
    <xf numFmtId="0" fontId="16" fillId="36" borderId="15" xfId="0" applyFont="1" applyFill="1" applyBorder="1" applyAlignment="1" applyProtection="1">
      <alignment horizontal="center" vertical="center"/>
      <protection/>
    </xf>
    <xf numFmtId="0" fontId="16" fillId="36" borderId="16" xfId="0" applyFont="1" applyFill="1" applyBorder="1" applyAlignment="1" applyProtection="1">
      <alignment vertical="center"/>
      <protection/>
    </xf>
    <xf numFmtId="0" fontId="16" fillId="36" borderId="16" xfId="0" applyFont="1" applyFill="1" applyBorder="1" applyAlignment="1" applyProtection="1">
      <alignment horizontal="center" vertical="center"/>
      <protection/>
    </xf>
    <xf numFmtId="0" fontId="16" fillId="36" borderId="17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Alignment="1" applyProtection="1">
      <alignment/>
      <protection/>
    </xf>
    <xf numFmtId="44" fontId="16" fillId="36" borderId="0" xfId="44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/>
      <protection/>
    </xf>
    <xf numFmtId="0" fontId="16" fillId="36" borderId="20" xfId="0" applyFont="1" applyFill="1" applyBorder="1" applyAlignment="1" applyProtection="1">
      <alignment horizontal="center" vertical="center"/>
      <protection/>
    </xf>
    <xf numFmtId="0" fontId="16" fillId="36" borderId="21" xfId="0" applyFont="1" applyFill="1" applyBorder="1" applyAlignment="1" applyProtection="1">
      <alignment vertical="center"/>
      <protection/>
    </xf>
    <xf numFmtId="0" fontId="16" fillId="36" borderId="22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Alignment="1" applyProtection="1">
      <alignment vertical="center"/>
      <protection/>
    </xf>
    <xf numFmtId="7" fontId="16" fillId="36" borderId="0" xfId="0" applyNumberFormat="1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vertical="center"/>
      <protection/>
    </xf>
    <xf numFmtId="3" fontId="16" fillId="0" borderId="22" xfId="42" applyNumberFormat="1" applyFont="1" applyFill="1" applyBorder="1" applyAlignment="1" applyProtection="1">
      <alignment horizontal="center" vertical="center"/>
      <protection/>
    </xf>
    <xf numFmtId="7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9" fontId="66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16" fillId="36" borderId="21" xfId="0" applyFont="1" applyFill="1" applyBorder="1" applyAlignment="1" applyProtection="1">
      <alignment horizontal="left" vertical="center"/>
      <protection/>
    </xf>
    <xf numFmtId="175" fontId="16" fillId="0" borderId="22" xfId="42" applyNumberFormat="1" applyFont="1" applyFill="1" applyBorder="1" applyAlignment="1" applyProtection="1">
      <alignment horizontal="center" vertical="center"/>
      <protection/>
    </xf>
    <xf numFmtId="7" fontId="16" fillId="0" borderId="0" xfId="0" applyNumberFormat="1" applyFont="1" applyFill="1" applyAlignment="1" applyProtection="1">
      <alignment vertical="center"/>
      <protection/>
    </xf>
    <xf numFmtId="44" fontId="16" fillId="0" borderId="0" xfId="0" applyNumberFormat="1" applyFont="1" applyFill="1" applyAlignment="1" applyProtection="1">
      <alignment/>
      <protection/>
    </xf>
    <xf numFmtId="3" fontId="16" fillId="36" borderId="22" xfId="42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 quotePrefix="1">
      <alignment horizontal="left"/>
      <protection/>
    </xf>
    <xf numFmtId="1" fontId="16" fillId="36" borderId="22" xfId="0" applyNumberFormat="1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36" borderId="39" xfId="0" applyFont="1" applyFill="1" applyBorder="1" applyAlignment="1" applyProtection="1">
      <alignment horizontal="left" vertical="center"/>
      <protection/>
    </xf>
    <xf numFmtId="0" fontId="16" fillId="36" borderId="39" xfId="0" applyFont="1" applyFill="1" applyBorder="1" applyAlignment="1" applyProtection="1">
      <alignment horizontal="center" vertical="center"/>
      <protection/>
    </xf>
    <xf numFmtId="1" fontId="16" fillId="36" borderId="40" xfId="0" applyNumberFormat="1" applyFont="1" applyFill="1" applyBorder="1" applyAlignment="1" applyProtection="1">
      <alignment horizontal="center" vertical="center"/>
      <protection/>
    </xf>
    <xf numFmtId="7" fontId="16" fillId="0" borderId="0" xfId="44" applyNumberFormat="1" applyFont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44" fontId="16" fillId="0" borderId="0" xfId="44" applyFont="1" applyAlignment="1" applyProtection="1">
      <alignment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13" borderId="21" xfId="0" applyFont="1" applyFill="1" applyBorder="1" applyAlignment="1" applyProtection="1">
      <alignment horizontal="center" vertical="center"/>
      <protection/>
    </xf>
    <xf numFmtId="0" fontId="16" fillId="13" borderId="12" xfId="0" applyFont="1" applyFill="1" applyBorder="1" applyAlignment="1" applyProtection="1">
      <alignment horizontal="center" vertical="center"/>
      <protection/>
    </xf>
    <xf numFmtId="0" fontId="14" fillId="13" borderId="49" xfId="0" applyFont="1" applyFill="1" applyBorder="1" applyAlignment="1" applyProtection="1">
      <alignment horizontal="center" vertical="center"/>
      <protection/>
    </xf>
    <xf numFmtId="0" fontId="16" fillId="13" borderId="49" xfId="0" applyFont="1" applyFill="1" applyBorder="1" applyAlignment="1" applyProtection="1">
      <alignment horizontal="center" vertical="center"/>
      <protection/>
    </xf>
    <xf numFmtId="9" fontId="14" fillId="13" borderId="49" xfId="0" applyNumberFormat="1" applyFont="1" applyFill="1" applyBorder="1" applyAlignment="1" applyProtection="1">
      <alignment horizontal="center" vertical="center"/>
      <protection/>
    </xf>
    <xf numFmtId="7" fontId="16" fillId="0" borderId="0" xfId="0" applyNumberFormat="1" applyFont="1" applyBorder="1" applyAlignment="1" applyProtection="1">
      <alignment vertical="center"/>
      <protection/>
    </xf>
    <xf numFmtId="168" fontId="16" fillId="36" borderId="21" xfId="0" applyNumberFormat="1" applyFont="1" applyFill="1" applyBorder="1" applyAlignment="1" applyProtection="1">
      <alignment vertical="center"/>
      <protection locked="0"/>
    </xf>
    <xf numFmtId="168" fontId="16" fillId="36" borderId="20" xfId="0" applyNumberFormat="1" applyFont="1" applyFill="1" applyBorder="1" applyAlignment="1" applyProtection="1">
      <alignment vertical="center"/>
      <protection locked="0"/>
    </xf>
    <xf numFmtId="168" fontId="16" fillId="36" borderId="13" xfId="0" applyNumberFormat="1" applyFont="1" applyFill="1" applyBorder="1" applyAlignment="1" applyProtection="1">
      <alignment vertical="center"/>
      <protection locked="0"/>
    </xf>
    <xf numFmtId="168" fontId="16" fillId="36" borderId="16" xfId="0" applyNumberFormat="1" applyFont="1" applyFill="1" applyBorder="1" applyAlignment="1" applyProtection="1">
      <alignment vertical="center"/>
      <protection locked="0"/>
    </xf>
    <xf numFmtId="168" fontId="16" fillId="0" borderId="21" xfId="0" applyNumberFormat="1" applyFont="1" applyFill="1" applyBorder="1" applyAlignment="1" applyProtection="1">
      <alignment vertical="center"/>
      <protection locked="0"/>
    </xf>
    <xf numFmtId="168" fontId="16" fillId="36" borderId="39" xfId="0" applyNumberFormat="1" applyFont="1" applyFill="1" applyBorder="1" applyAlignment="1" applyProtection="1">
      <alignment vertical="center"/>
      <protection locked="0"/>
    </xf>
    <xf numFmtId="168" fontId="14" fillId="35" borderId="21" xfId="0" applyNumberFormat="1" applyFont="1" applyFill="1" applyBorder="1" applyAlignment="1" applyProtection="1">
      <alignment horizontal="center" vertical="center"/>
      <protection/>
    </xf>
    <xf numFmtId="168" fontId="14" fillId="35" borderId="21" xfId="0" applyNumberFormat="1" applyFont="1" applyFill="1" applyBorder="1" applyAlignment="1" applyProtection="1">
      <alignment horizontal="right" vertical="center" indent="1"/>
      <protection/>
    </xf>
    <xf numFmtId="168" fontId="16" fillId="35" borderId="49" xfId="0" applyNumberFormat="1" applyFont="1" applyFill="1" applyBorder="1" applyAlignment="1" applyProtection="1">
      <alignment vertical="center"/>
      <protection/>
    </xf>
    <xf numFmtId="168" fontId="14" fillId="13" borderId="17" xfId="0" applyNumberFormat="1" applyFont="1" applyFill="1" applyBorder="1" applyAlignment="1" applyProtection="1">
      <alignment vertical="center"/>
      <protection/>
    </xf>
    <xf numFmtId="168" fontId="14" fillId="13" borderId="48" xfId="0" applyNumberFormat="1" applyFont="1" applyFill="1" applyBorder="1" applyAlignment="1" applyProtection="1">
      <alignment vertical="center"/>
      <protection/>
    </xf>
    <xf numFmtId="168" fontId="16" fillId="13" borderId="50" xfId="0" applyNumberFormat="1" applyFont="1" applyFill="1" applyBorder="1" applyAlignment="1" applyProtection="1">
      <alignment vertical="center"/>
      <protection/>
    </xf>
    <xf numFmtId="168" fontId="14" fillId="13" borderId="21" xfId="0" applyNumberFormat="1" applyFont="1" applyFill="1" applyBorder="1" applyAlignment="1" applyProtection="1">
      <alignment vertical="center"/>
      <protection/>
    </xf>
    <xf numFmtId="168" fontId="14" fillId="13" borderId="12" xfId="0" applyNumberFormat="1" applyFont="1" applyFill="1" applyBorder="1" applyAlignment="1" applyProtection="1">
      <alignment vertical="center"/>
      <protection/>
    </xf>
    <xf numFmtId="168" fontId="16" fillId="13" borderId="21" xfId="0" applyNumberFormat="1" applyFont="1" applyFill="1" applyBorder="1" applyAlignment="1" applyProtection="1">
      <alignment vertical="center"/>
      <protection/>
    </xf>
    <xf numFmtId="168" fontId="14" fillId="35" borderId="22" xfId="0" applyNumberFormat="1" applyFont="1" applyFill="1" applyBorder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3" fontId="19" fillId="0" borderId="22" xfId="42" applyNumberFormat="1" applyFont="1" applyFill="1" applyBorder="1" applyAlignment="1" applyProtection="1">
      <alignment horizontal="center" vertical="center"/>
      <protection/>
    </xf>
    <xf numFmtId="7" fontId="16" fillId="0" borderId="17" xfId="0" applyNumberFormat="1" applyFont="1" applyFill="1" applyBorder="1" applyAlignment="1" applyProtection="1">
      <alignment vertical="center"/>
      <protection/>
    </xf>
    <xf numFmtId="7" fontId="16" fillId="0" borderId="21" xfId="0" applyNumberFormat="1" applyFont="1" applyFill="1" applyBorder="1" applyAlignment="1" applyProtection="1">
      <alignment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3" fontId="21" fillId="36" borderId="22" xfId="42" applyNumberFormat="1" applyFont="1" applyFill="1" applyBorder="1" applyAlignment="1" applyProtection="1">
      <alignment horizontal="center" vertical="center" wrapText="1"/>
      <protection/>
    </xf>
    <xf numFmtId="3" fontId="19" fillId="36" borderId="22" xfId="42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168" fontId="20" fillId="36" borderId="21" xfId="0" applyNumberFormat="1" applyFont="1" applyFill="1" applyBorder="1" applyAlignment="1" applyProtection="1">
      <alignment vertical="center"/>
      <protection locked="0"/>
    </xf>
    <xf numFmtId="7" fontId="20" fillId="0" borderId="21" xfId="0" applyNumberFormat="1" applyFont="1" applyBorder="1" applyAlignment="1" applyProtection="1">
      <alignment vertical="center"/>
      <protection/>
    </xf>
    <xf numFmtId="168" fontId="20" fillId="36" borderId="2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66" fillId="0" borderId="0" xfId="0" applyFont="1" applyAlignment="1" applyProtection="1">
      <alignment horizontal="left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47" xfId="0" applyFont="1" applyFill="1" applyBorder="1" applyAlignment="1" applyProtection="1">
      <alignment horizontal="center" vertical="center"/>
      <protection/>
    </xf>
    <xf numFmtId="0" fontId="14" fillId="2" borderId="51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4" fillId="2" borderId="20" xfId="0" applyFont="1" applyFill="1" applyBorder="1" applyAlignment="1" applyProtection="1">
      <alignment horizontal="center" vertical="center"/>
      <protection/>
    </xf>
    <xf numFmtId="0" fontId="14" fillId="13" borderId="22" xfId="0" applyFont="1" applyFill="1" applyBorder="1" applyAlignment="1" applyProtection="1">
      <alignment horizontal="right" vertical="center" indent="1"/>
      <protection/>
    </xf>
    <xf numFmtId="0" fontId="14" fillId="13" borderId="47" xfId="0" applyFont="1" applyFill="1" applyBorder="1" applyAlignment="1" applyProtection="1">
      <alignment horizontal="right" vertical="center" indent="1"/>
      <protection/>
    </xf>
    <xf numFmtId="0" fontId="14" fillId="13" borderId="20" xfId="0" applyFont="1" applyFill="1" applyBorder="1" applyAlignment="1" applyProtection="1">
      <alignment horizontal="right" vertical="center" indent="1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13" borderId="22" xfId="0" applyFont="1" applyFill="1" applyBorder="1" applyAlignment="1" applyProtection="1">
      <alignment horizontal="right" vertical="center"/>
      <protection/>
    </xf>
    <xf numFmtId="0" fontId="14" fillId="13" borderId="47" xfId="0" applyFont="1" applyFill="1" applyBorder="1" applyAlignment="1" applyProtection="1">
      <alignment horizontal="right" vertical="center"/>
      <protection/>
    </xf>
    <xf numFmtId="0" fontId="14" fillId="13" borderId="2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2" borderId="52" xfId="0" applyFont="1" applyFill="1" applyBorder="1" applyAlignment="1" applyProtection="1">
      <alignment horizontal="center" vertical="center"/>
      <protection/>
    </xf>
    <xf numFmtId="0" fontId="10" fillId="2" borderId="26" xfId="0" applyFont="1" applyFill="1" applyBorder="1" applyAlignment="1" applyProtection="1">
      <alignment horizontal="center" vertical="center"/>
      <protection/>
    </xf>
    <xf numFmtId="0" fontId="10" fillId="2" borderId="53" xfId="0" applyFont="1" applyFill="1" applyBorder="1" applyAlignment="1" applyProtection="1">
      <alignment horizontal="center" vertical="center"/>
      <protection/>
    </xf>
    <xf numFmtId="0" fontId="3" fillId="10" borderId="49" xfId="0" applyFont="1" applyFill="1" applyBorder="1" applyAlignment="1" applyProtection="1">
      <alignment horizontal="center" vertical="center" wrapText="1"/>
      <protection/>
    </xf>
    <xf numFmtId="0" fontId="3" fillId="10" borderId="28" xfId="0" applyFont="1" applyFill="1" applyBorder="1" applyAlignment="1" applyProtection="1">
      <alignment horizontal="center" vertical="center" wrapText="1"/>
      <protection/>
    </xf>
    <xf numFmtId="0" fontId="64" fillId="10" borderId="49" xfId="0" applyFont="1" applyFill="1" applyBorder="1" applyAlignment="1" applyProtection="1">
      <alignment horizontal="center" vertical="center" wrapText="1"/>
      <protection/>
    </xf>
    <xf numFmtId="0" fontId="64" fillId="10" borderId="28" xfId="0" applyFont="1" applyFill="1" applyBorder="1" applyAlignment="1" applyProtection="1">
      <alignment horizontal="center" vertical="center" wrapText="1"/>
      <protection/>
    </xf>
    <xf numFmtId="3" fontId="3" fillId="10" borderId="49" xfId="0" applyNumberFormat="1" applyFont="1" applyFill="1" applyBorder="1" applyAlignment="1" applyProtection="1">
      <alignment horizontal="center" vertical="center" wrapText="1"/>
      <protection/>
    </xf>
    <xf numFmtId="3" fontId="3" fillId="10" borderId="28" xfId="0" applyNumberFormat="1" applyFont="1" applyFill="1" applyBorder="1" applyAlignment="1" applyProtection="1">
      <alignment horizontal="center" vertical="center" wrapText="1"/>
      <protection/>
    </xf>
    <xf numFmtId="0" fontId="64" fillId="10" borderId="49" xfId="0" applyFont="1" applyFill="1" applyBorder="1" applyAlignment="1" applyProtection="1">
      <alignment horizontal="center" vertical="center"/>
      <protection/>
    </xf>
    <xf numFmtId="0" fontId="64" fillId="10" borderId="28" xfId="0" applyFont="1" applyFill="1" applyBorder="1" applyAlignment="1" applyProtection="1">
      <alignment horizontal="center" vertical="center"/>
      <protection/>
    </xf>
    <xf numFmtId="0" fontId="3" fillId="10" borderId="49" xfId="0" applyFont="1" applyFill="1" applyBorder="1" applyAlignment="1" applyProtection="1">
      <alignment horizontal="center" vertical="center"/>
      <protection/>
    </xf>
    <xf numFmtId="0" fontId="3" fillId="10" borderId="28" xfId="0" applyFont="1" applyFill="1" applyBorder="1" applyAlignment="1" applyProtection="1">
      <alignment horizontal="center" vertical="center"/>
      <protection/>
    </xf>
    <xf numFmtId="0" fontId="7" fillId="2" borderId="52" xfId="0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7" fillId="2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37" borderId="52" xfId="0" applyFont="1" applyFill="1" applyBorder="1" applyAlignment="1" applyProtection="1">
      <alignment horizontal="center" vertical="center"/>
      <protection/>
    </xf>
    <xf numFmtId="0" fontId="7" fillId="37" borderId="26" xfId="0" applyFont="1" applyFill="1" applyBorder="1" applyAlignment="1" applyProtection="1">
      <alignment horizontal="center" vertical="center"/>
      <protection/>
    </xf>
    <xf numFmtId="0" fontId="7" fillId="37" borderId="53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53" xfId="0" applyFont="1" applyBorder="1" applyAlignment="1" applyProtection="1">
      <alignment horizontal="right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/>
    </xf>
    <xf numFmtId="0" fontId="7" fillId="2" borderId="56" xfId="0" applyFont="1" applyFill="1" applyBorder="1" applyAlignment="1" applyProtection="1">
      <alignment horizontal="center" vertical="center"/>
      <protection/>
    </xf>
    <xf numFmtId="0" fontId="7" fillId="13" borderId="52" xfId="0" applyFont="1" applyFill="1" applyBorder="1" applyAlignment="1" applyProtection="1">
      <alignment horizontal="left"/>
      <protection/>
    </xf>
    <xf numFmtId="0" fontId="7" fillId="13" borderId="26" xfId="0" applyFont="1" applyFill="1" applyBorder="1" applyAlignment="1" applyProtection="1">
      <alignment horizontal="left"/>
      <protection/>
    </xf>
    <xf numFmtId="0" fontId="7" fillId="13" borderId="53" xfId="0" applyFont="1" applyFill="1" applyBorder="1" applyAlignment="1" applyProtection="1">
      <alignment horizontal="left"/>
      <protection/>
    </xf>
    <xf numFmtId="0" fontId="5" fillId="0" borderId="57" xfId="0" applyFont="1" applyFill="1" applyBorder="1" applyAlignment="1" applyProtection="1">
      <alignment vertical="center"/>
      <protection locked="0"/>
    </xf>
    <xf numFmtId="0" fontId="5" fillId="0" borderId="58" xfId="0" applyFont="1" applyFill="1" applyBorder="1" applyAlignment="1" applyProtection="1">
      <alignment vertical="center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5" fillId="0" borderId="60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61" xfId="0" applyFont="1" applyFill="1" applyBorder="1" applyAlignment="1" applyProtection="1">
      <alignment vertical="center"/>
      <protection locked="0"/>
    </xf>
    <xf numFmtId="0" fontId="5" fillId="0" borderId="62" xfId="0" applyFont="1" applyFill="1" applyBorder="1" applyAlignment="1" applyProtection="1">
      <alignment vertical="center"/>
      <protection locked="0"/>
    </xf>
    <xf numFmtId="0" fontId="5" fillId="0" borderId="63" xfId="0" applyFont="1" applyFill="1" applyBorder="1" applyAlignment="1" applyProtection="1">
      <alignment vertical="center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3" fillId="0" borderId="67" xfId="0" applyFont="1" applyBorder="1" applyAlignment="1" applyProtection="1">
      <alignment horizontal="left"/>
      <protection/>
    </xf>
    <xf numFmtId="0" fontId="63" fillId="0" borderId="58" xfId="0" applyFont="1" applyBorder="1" applyAlignment="1" applyProtection="1">
      <alignment horizontal="left"/>
      <protection/>
    </xf>
    <xf numFmtId="0" fontId="63" fillId="0" borderId="59" xfId="0" applyFont="1" applyBorder="1" applyAlignment="1" applyProtection="1">
      <alignment horizontal="left"/>
      <protection/>
    </xf>
    <xf numFmtId="0" fontId="63" fillId="0" borderId="22" xfId="0" applyFont="1" applyBorder="1" applyAlignment="1" applyProtection="1">
      <alignment horizontal="left"/>
      <protection/>
    </xf>
    <xf numFmtId="0" fontId="63" fillId="0" borderId="47" xfId="0" applyFont="1" applyBorder="1" applyAlignment="1" applyProtection="1">
      <alignment horizontal="left"/>
      <protection/>
    </xf>
    <xf numFmtId="0" fontId="63" fillId="0" borderId="20" xfId="0" applyFont="1" applyBorder="1" applyAlignment="1" applyProtection="1">
      <alignment horizontal="left"/>
      <protection/>
    </xf>
    <xf numFmtId="0" fontId="63" fillId="0" borderId="40" xfId="0" applyFont="1" applyBorder="1" applyAlignment="1" applyProtection="1">
      <alignment horizontal="left"/>
      <protection/>
    </xf>
    <xf numFmtId="0" fontId="63" fillId="0" borderId="68" xfId="0" applyFont="1" applyBorder="1" applyAlignment="1" applyProtection="1">
      <alignment horizontal="left"/>
      <protection/>
    </xf>
    <xf numFmtId="0" fontId="63" fillId="0" borderId="13" xfId="0" applyFont="1" applyBorder="1" applyAlignment="1" applyProtection="1">
      <alignment horizontal="left"/>
      <protection/>
    </xf>
    <xf numFmtId="0" fontId="3" fillId="0" borderId="5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13" borderId="69" xfId="0" applyFont="1" applyFill="1" applyBorder="1" applyAlignment="1" applyProtection="1">
      <alignment horizontal="left"/>
      <protection/>
    </xf>
    <xf numFmtId="0" fontId="7" fillId="13" borderId="62" xfId="0" applyFont="1" applyFill="1" applyBorder="1" applyAlignment="1" applyProtection="1">
      <alignment horizontal="left"/>
      <protection/>
    </xf>
    <xf numFmtId="0" fontId="7" fillId="13" borderId="70" xfId="0" applyFont="1" applyFill="1" applyBorder="1" applyAlignment="1" applyProtection="1">
      <alignment horizontal="left"/>
      <protection/>
    </xf>
    <xf numFmtId="0" fontId="5" fillId="0" borderId="7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4" xfId="44" applyNumberFormat="1" applyFont="1" applyBorder="1" applyAlignment="1">
      <alignment horizontal="center" vertical="center"/>
    </xf>
    <xf numFmtId="0" fontId="5" fillId="0" borderId="4" xfId="44" applyNumberFormat="1" applyFont="1" applyBorder="1" applyAlignment="1">
      <alignment horizontal="center" vertical="center"/>
    </xf>
    <xf numFmtId="0" fontId="5" fillId="0" borderId="55" xfId="44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FN293"/>
  <sheetViews>
    <sheetView showGridLines="0" tabSelected="1" defaultGridColor="0" zoomScale="90" zoomScaleNormal="90" zoomScaleSheetLayoutView="70" zoomScalePageLayoutView="30" colorId="22" workbookViewId="0" topLeftCell="C103">
      <selection activeCell="H93" sqref="H93"/>
    </sheetView>
  </sheetViews>
  <sheetFormatPr defaultColWidth="10.8984375" defaultRowHeight="15"/>
  <cols>
    <col min="1" max="1" width="10.59765625" style="177" customWidth="1"/>
    <col min="2" max="2" width="15.19921875" style="177" customWidth="1"/>
    <col min="3" max="3" width="97.3984375" style="177" customWidth="1"/>
    <col min="4" max="4" width="10.59765625" style="177" customWidth="1"/>
    <col min="5" max="5" width="13" style="178" customWidth="1"/>
    <col min="6" max="9" width="35.59765625" style="177" customWidth="1"/>
    <col min="10" max="10" width="7.3984375" style="177" customWidth="1"/>
    <col min="11" max="11" width="14.3984375" style="177" customWidth="1"/>
    <col min="12" max="12" width="10.8984375" style="177" customWidth="1"/>
    <col min="13" max="13" width="13.5" style="177" bestFit="1" customWidth="1"/>
    <col min="14" max="14" width="16.09765625" style="177" customWidth="1"/>
    <col min="15" max="15" width="17.8984375" style="177" customWidth="1"/>
    <col min="16" max="16384" width="10.8984375" style="177" customWidth="1"/>
  </cols>
  <sheetData>
    <row r="1" spans="1:2" ht="15.75" hidden="1">
      <c r="A1" s="176" t="s">
        <v>20</v>
      </c>
      <c r="B1" s="176"/>
    </row>
    <row r="2" spans="1:3" ht="15.75" hidden="1">
      <c r="A2" s="177" t="s">
        <v>13</v>
      </c>
      <c r="C2" s="180" t="s">
        <v>21</v>
      </c>
    </row>
    <row r="3" spans="1:3" ht="15.75" hidden="1">
      <c r="A3" s="180" t="s">
        <v>14</v>
      </c>
      <c r="B3" s="180"/>
      <c r="C3" s="180" t="s">
        <v>36</v>
      </c>
    </row>
    <row r="4" spans="1:3" ht="15.75" hidden="1">
      <c r="A4" s="177" t="s">
        <v>15</v>
      </c>
      <c r="C4" s="180" t="s">
        <v>37</v>
      </c>
    </row>
    <row r="5" spans="1:3" ht="15.75" hidden="1">
      <c r="A5" s="177" t="s">
        <v>16</v>
      </c>
      <c r="C5" s="180" t="s">
        <v>18</v>
      </c>
    </row>
    <row r="6" spans="1:3" ht="15.75" hidden="1">
      <c r="A6" s="180" t="s">
        <v>17</v>
      </c>
      <c r="B6" s="180"/>
      <c r="C6" s="180" t="s">
        <v>19</v>
      </c>
    </row>
    <row r="7" ht="15.75" hidden="1"/>
    <row r="8" spans="1:16" ht="24.75" customHeight="1">
      <c r="A8" s="317" t="s">
        <v>712</v>
      </c>
      <c r="B8" s="317"/>
      <c r="C8" s="317"/>
      <c r="D8" s="317"/>
      <c r="E8" s="317"/>
      <c r="F8" s="317"/>
      <c r="G8" s="317"/>
      <c r="I8" s="179"/>
      <c r="L8" s="211"/>
      <c r="M8" s="212"/>
      <c r="O8" s="181"/>
      <c r="P8" s="180"/>
    </row>
    <row r="9" spans="1:16" ht="24.75" customHeight="1">
      <c r="A9" s="317" t="s">
        <v>699</v>
      </c>
      <c r="B9" s="317"/>
      <c r="C9" s="317"/>
      <c r="D9" s="317"/>
      <c r="E9" s="317"/>
      <c r="F9" s="317"/>
      <c r="G9" s="317"/>
      <c r="I9" s="179"/>
      <c r="O9" s="181"/>
      <c r="P9" s="213"/>
    </row>
    <row r="10" spans="1:16" ht="24.75" customHeight="1">
      <c r="A10" s="317" t="s">
        <v>700</v>
      </c>
      <c r="B10" s="317"/>
      <c r="C10" s="317"/>
      <c r="D10" s="317"/>
      <c r="E10" s="317"/>
      <c r="F10" s="317"/>
      <c r="G10" s="317"/>
      <c r="I10" s="179"/>
      <c r="O10" s="181"/>
      <c r="P10" s="180"/>
    </row>
    <row r="11" spans="1:16" ht="24.75" customHeight="1">
      <c r="A11" s="308" t="s">
        <v>701</v>
      </c>
      <c r="B11" s="308"/>
      <c r="C11" s="308"/>
      <c r="D11" s="308"/>
      <c r="E11" s="308"/>
      <c r="F11" s="308"/>
      <c r="G11" s="308"/>
      <c r="I11" s="179"/>
      <c r="O11" s="181"/>
      <c r="P11" s="213"/>
    </row>
    <row r="12" spans="1:13" ht="24.75" customHeight="1">
      <c r="A12" s="309"/>
      <c r="B12" s="310"/>
      <c r="C12" s="310"/>
      <c r="D12" s="310"/>
      <c r="E12" s="313"/>
      <c r="F12" s="309" t="s">
        <v>705</v>
      </c>
      <c r="G12" s="313"/>
      <c r="H12" s="309" t="s">
        <v>706</v>
      </c>
      <c r="I12" s="313"/>
      <c r="L12" s="214"/>
      <c r="M12" s="214"/>
    </row>
    <row r="13" spans="1:13" ht="24.75" customHeight="1">
      <c r="A13" s="200"/>
      <c r="B13" s="318" t="s">
        <v>39</v>
      </c>
      <c r="C13" s="201"/>
      <c r="D13" s="201"/>
      <c r="E13" s="318" t="s">
        <v>40</v>
      </c>
      <c r="F13" s="318" t="s">
        <v>709</v>
      </c>
      <c r="G13" s="319" t="s">
        <v>6</v>
      </c>
      <c r="H13" s="321" t="s">
        <v>709</v>
      </c>
      <c r="I13" s="321" t="s">
        <v>6</v>
      </c>
      <c r="K13" s="214"/>
      <c r="M13" s="214"/>
    </row>
    <row r="14" spans="1:13" ht="24.75" customHeight="1">
      <c r="A14" s="204" t="s">
        <v>3</v>
      </c>
      <c r="B14" s="318"/>
      <c r="C14" s="202" t="s">
        <v>4</v>
      </c>
      <c r="D14" s="205" t="s">
        <v>5</v>
      </c>
      <c r="E14" s="318"/>
      <c r="F14" s="320"/>
      <c r="G14" s="319"/>
      <c r="H14" s="320"/>
      <c r="I14" s="318"/>
      <c r="K14" s="214"/>
      <c r="M14" s="214"/>
    </row>
    <row r="15" spans="1:13" ht="24.75" customHeight="1">
      <c r="A15" s="200"/>
      <c r="B15" s="318"/>
      <c r="C15" s="203"/>
      <c r="D15" s="203"/>
      <c r="E15" s="318"/>
      <c r="F15" s="320"/>
      <c r="G15" s="319"/>
      <c r="H15" s="322"/>
      <c r="I15" s="323"/>
      <c r="K15" s="215"/>
      <c r="L15" s="216"/>
      <c r="M15" s="214"/>
    </row>
    <row r="16" spans="1:13" ht="24.75" customHeight="1">
      <c r="A16" s="309" t="s">
        <v>42</v>
      </c>
      <c r="B16" s="310"/>
      <c r="C16" s="310"/>
      <c r="D16" s="186"/>
      <c r="E16" s="187"/>
      <c r="F16" s="188"/>
      <c r="G16" s="187"/>
      <c r="H16" s="189"/>
      <c r="I16" s="190"/>
      <c r="K16" s="215"/>
      <c r="L16" s="216"/>
      <c r="M16" s="214"/>
    </row>
    <row r="17" spans="1:13" s="222" customFormat="1" ht="24.75" customHeight="1">
      <c r="A17" s="217">
        <f>ROW()-16</f>
        <v>1</v>
      </c>
      <c r="B17" s="218" t="s">
        <v>85</v>
      </c>
      <c r="C17" s="219" t="s">
        <v>710</v>
      </c>
      <c r="D17" s="220" t="s">
        <v>9</v>
      </c>
      <c r="E17" s="221">
        <v>1</v>
      </c>
      <c r="F17" s="276"/>
      <c r="G17" s="206">
        <f>F17*E17</f>
        <v>0</v>
      </c>
      <c r="H17" s="273"/>
      <c r="I17" s="207">
        <f>H17*E17</f>
        <v>0</v>
      </c>
      <c r="K17" s="223"/>
      <c r="M17" s="224"/>
    </row>
    <row r="18" spans="1:13" s="228" customFormat="1" ht="24.75" customHeight="1">
      <c r="A18" s="220">
        <f aca="true" t="shared" si="0" ref="A18:A66">ROW()-16</f>
        <v>2</v>
      </c>
      <c r="B18" s="225" t="s">
        <v>86</v>
      </c>
      <c r="C18" s="226" t="s">
        <v>711</v>
      </c>
      <c r="D18" s="217" t="s">
        <v>9</v>
      </c>
      <c r="E18" s="227">
        <v>1</v>
      </c>
      <c r="F18" s="273"/>
      <c r="G18" s="206">
        <f aca="true" t="shared" si="1" ref="G18:G66">F18*E18</f>
        <v>0</v>
      </c>
      <c r="H18" s="273"/>
      <c r="I18" s="207">
        <f aca="true" t="shared" si="2" ref="I18:I66">H18*E18</f>
        <v>0</v>
      </c>
      <c r="K18" s="229"/>
      <c r="M18" s="230"/>
    </row>
    <row r="19" spans="1:170" s="228" customFormat="1" ht="24.75" customHeight="1">
      <c r="A19" s="220">
        <f t="shared" si="0"/>
        <v>3</v>
      </c>
      <c r="B19" s="225" t="s">
        <v>68</v>
      </c>
      <c r="C19" s="226" t="s">
        <v>563</v>
      </c>
      <c r="D19" s="217" t="s">
        <v>11</v>
      </c>
      <c r="E19" s="231">
        <v>1455</v>
      </c>
      <c r="F19" s="273"/>
      <c r="G19" s="206">
        <f t="shared" si="1"/>
        <v>0</v>
      </c>
      <c r="H19" s="273"/>
      <c r="I19" s="207">
        <f t="shared" si="2"/>
        <v>0</v>
      </c>
      <c r="K19" s="232"/>
      <c r="L19" s="233"/>
      <c r="M19" s="234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</row>
    <row r="20" spans="1:170" s="228" customFormat="1" ht="24.75" customHeight="1">
      <c r="A20" s="220">
        <f t="shared" si="0"/>
        <v>4</v>
      </c>
      <c r="B20" s="225" t="s">
        <v>564</v>
      </c>
      <c r="C20" s="226" t="s">
        <v>565</v>
      </c>
      <c r="D20" s="217" t="s">
        <v>12</v>
      </c>
      <c r="E20" s="231">
        <v>2</v>
      </c>
      <c r="F20" s="273"/>
      <c r="G20" s="206">
        <f t="shared" si="1"/>
        <v>0</v>
      </c>
      <c r="H20" s="273"/>
      <c r="I20" s="207">
        <f t="shared" si="2"/>
        <v>0</v>
      </c>
      <c r="K20" s="232"/>
      <c r="L20" s="233"/>
      <c r="M20" s="234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</row>
    <row r="21" spans="1:170" s="239" customFormat="1" ht="24.75" customHeight="1">
      <c r="A21" s="235">
        <f t="shared" si="0"/>
        <v>5</v>
      </c>
      <c r="B21" s="236" t="s">
        <v>70</v>
      </c>
      <c r="C21" s="237" t="s">
        <v>67</v>
      </c>
      <c r="D21" s="238" t="s">
        <v>12</v>
      </c>
      <c r="E21" s="231">
        <v>3</v>
      </c>
      <c r="F21" s="273"/>
      <c r="G21" s="206">
        <f t="shared" si="1"/>
        <v>0</v>
      </c>
      <c r="H21" s="273"/>
      <c r="I21" s="207">
        <f t="shared" si="2"/>
        <v>0</v>
      </c>
      <c r="J21" s="233"/>
      <c r="K21" s="232"/>
      <c r="L21" s="233"/>
      <c r="M21" s="234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</row>
    <row r="22" spans="1:170" s="239" customFormat="1" ht="24.75" customHeight="1">
      <c r="A22" s="220">
        <f t="shared" si="0"/>
        <v>6</v>
      </c>
      <c r="B22" s="225" t="s">
        <v>24</v>
      </c>
      <c r="C22" s="226" t="s">
        <v>566</v>
      </c>
      <c r="D22" s="217" t="s">
        <v>557</v>
      </c>
      <c r="E22" s="231">
        <v>1</v>
      </c>
      <c r="F22" s="273"/>
      <c r="G22" s="206">
        <f t="shared" si="1"/>
        <v>0</v>
      </c>
      <c r="H22" s="273"/>
      <c r="I22" s="207">
        <f t="shared" si="2"/>
        <v>0</v>
      </c>
      <c r="J22" s="233"/>
      <c r="K22" s="232"/>
      <c r="L22" s="233"/>
      <c r="M22" s="234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</row>
    <row r="23" spans="1:170" s="239" customFormat="1" ht="24.75" customHeight="1">
      <c r="A23" s="220">
        <f t="shared" si="0"/>
        <v>7</v>
      </c>
      <c r="B23" s="225" t="s">
        <v>31</v>
      </c>
      <c r="C23" s="226" t="s">
        <v>45</v>
      </c>
      <c r="D23" s="217" t="s">
        <v>10</v>
      </c>
      <c r="E23" s="231">
        <v>1167</v>
      </c>
      <c r="F23" s="273"/>
      <c r="G23" s="206">
        <f t="shared" si="1"/>
        <v>0</v>
      </c>
      <c r="H23" s="273"/>
      <c r="I23" s="207">
        <f t="shared" si="2"/>
        <v>0</v>
      </c>
      <c r="J23" s="233"/>
      <c r="K23" s="232"/>
      <c r="L23" s="233"/>
      <c r="M23" s="234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</row>
    <row r="24" spans="1:170" s="239" customFormat="1" ht="24.75" customHeight="1">
      <c r="A24" s="220">
        <f t="shared" si="0"/>
        <v>8</v>
      </c>
      <c r="B24" s="225" t="s">
        <v>73</v>
      </c>
      <c r="C24" s="226" t="s">
        <v>71</v>
      </c>
      <c r="D24" s="217" t="s">
        <v>56</v>
      </c>
      <c r="E24" s="231">
        <v>925</v>
      </c>
      <c r="F24" s="273"/>
      <c r="G24" s="206">
        <f t="shared" si="1"/>
        <v>0</v>
      </c>
      <c r="H24" s="273"/>
      <c r="I24" s="207">
        <f t="shared" si="2"/>
        <v>0</v>
      </c>
      <c r="J24" s="233"/>
      <c r="K24" s="232"/>
      <c r="L24" s="233"/>
      <c r="M24" s="234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</row>
    <row r="25" spans="1:170" s="239" customFormat="1" ht="24.75" customHeight="1">
      <c r="A25" s="235">
        <f t="shared" si="0"/>
        <v>9</v>
      </c>
      <c r="B25" s="236" t="s">
        <v>74</v>
      </c>
      <c r="C25" s="237" t="s">
        <v>72</v>
      </c>
      <c r="D25" s="238" t="s">
        <v>56</v>
      </c>
      <c r="E25" s="231">
        <v>235</v>
      </c>
      <c r="F25" s="273"/>
      <c r="G25" s="206">
        <f t="shared" si="1"/>
        <v>0</v>
      </c>
      <c r="H25" s="273"/>
      <c r="I25" s="207">
        <f t="shared" si="2"/>
        <v>0</v>
      </c>
      <c r="J25" s="233"/>
      <c r="K25" s="232"/>
      <c r="L25" s="233"/>
      <c r="M25" s="233"/>
      <c r="N25" s="234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</row>
    <row r="26" spans="1:170" s="239" customFormat="1" ht="24.75" customHeight="1">
      <c r="A26" s="235">
        <f t="shared" si="0"/>
        <v>10</v>
      </c>
      <c r="B26" s="236" t="s">
        <v>41</v>
      </c>
      <c r="C26" s="237" t="s">
        <v>567</v>
      </c>
      <c r="D26" s="238" t="s">
        <v>10</v>
      </c>
      <c r="E26" s="231">
        <v>2455.5</v>
      </c>
      <c r="F26" s="273"/>
      <c r="G26" s="206">
        <f t="shared" si="1"/>
        <v>0</v>
      </c>
      <c r="H26" s="273"/>
      <c r="I26" s="207">
        <f t="shared" si="2"/>
        <v>0</v>
      </c>
      <c r="J26" s="233"/>
      <c r="K26" s="232"/>
      <c r="L26" s="240"/>
      <c r="M26" s="233"/>
      <c r="N26" s="241"/>
      <c r="O26" s="242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</row>
    <row r="27" spans="1:170" s="228" customFormat="1" ht="24.75" customHeight="1">
      <c r="A27" s="220">
        <f t="shared" si="0"/>
        <v>11</v>
      </c>
      <c r="B27" s="225" t="s">
        <v>92</v>
      </c>
      <c r="C27" s="226" t="s">
        <v>568</v>
      </c>
      <c r="D27" s="217" t="s">
        <v>10</v>
      </c>
      <c r="E27" s="231">
        <v>2323</v>
      </c>
      <c r="F27" s="273"/>
      <c r="G27" s="206">
        <f t="shared" si="1"/>
        <v>0</v>
      </c>
      <c r="H27" s="273"/>
      <c r="I27" s="207">
        <f t="shared" si="2"/>
        <v>0</v>
      </c>
      <c r="K27" s="232"/>
      <c r="L27" s="233"/>
      <c r="M27" s="233"/>
      <c r="N27" s="241"/>
      <c r="O27" s="242"/>
      <c r="P27" s="24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</row>
    <row r="28" spans="1:170" s="228" customFormat="1" ht="24.75" customHeight="1">
      <c r="A28" s="220">
        <f t="shared" si="0"/>
        <v>12</v>
      </c>
      <c r="B28" s="225" t="s">
        <v>569</v>
      </c>
      <c r="C28" s="237" t="s">
        <v>570</v>
      </c>
      <c r="D28" s="217" t="s">
        <v>10</v>
      </c>
      <c r="E28" s="231">
        <v>1990</v>
      </c>
      <c r="F28" s="273"/>
      <c r="G28" s="206">
        <f t="shared" si="1"/>
        <v>0</v>
      </c>
      <c r="H28" s="273"/>
      <c r="I28" s="207">
        <f t="shared" si="2"/>
        <v>0</v>
      </c>
      <c r="K28" s="232"/>
      <c r="L28" s="233"/>
      <c r="M28" s="233"/>
      <c r="N28" s="241"/>
      <c r="O28" s="242"/>
      <c r="P28" s="24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</row>
    <row r="29" spans="1:170" s="228" customFormat="1" ht="24.75" customHeight="1">
      <c r="A29" s="220">
        <f t="shared" si="0"/>
        <v>13</v>
      </c>
      <c r="B29" s="225" t="s">
        <v>668</v>
      </c>
      <c r="C29" s="237" t="s">
        <v>669</v>
      </c>
      <c r="D29" s="217" t="s">
        <v>10</v>
      </c>
      <c r="E29" s="231">
        <v>934</v>
      </c>
      <c r="F29" s="273"/>
      <c r="G29" s="206">
        <f t="shared" si="1"/>
        <v>0</v>
      </c>
      <c r="H29" s="273"/>
      <c r="I29" s="207">
        <f t="shared" si="2"/>
        <v>0</v>
      </c>
      <c r="K29" s="232"/>
      <c r="L29" s="233"/>
      <c r="M29" s="233"/>
      <c r="N29" s="241"/>
      <c r="O29" s="242"/>
      <c r="P29" s="24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</row>
    <row r="30" spans="1:170" s="228" customFormat="1" ht="24.75" customHeight="1">
      <c r="A30" s="220">
        <f t="shared" si="0"/>
        <v>14</v>
      </c>
      <c r="B30" s="225" t="s">
        <v>553</v>
      </c>
      <c r="C30" s="244" t="s">
        <v>571</v>
      </c>
      <c r="D30" s="217" t="s">
        <v>27</v>
      </c>
      <c r="E30" s="231">
        <v>391</v>
      </c>
      <c r="F30" s="273"/>
      <c r="G30" s="206">
        <f t="shared" si="1"/>
        <v>0</v>
      </c>
      <c r="H30" s="273"/>
      <c r="I30" s="207">
        <f t="shared" si="2"/>
        <v>0</v>
      </c>
      <c r="K30" s="232"/>
      <c r="L30" s="233"/>
      <c r="M30" s="243"/>
      <c r="N30" s="246"/>
      <c r="O30" s="233"/>
      <c r="P30" s="233"/>
      <c r="Q30" s="24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</row>
    <row r="31" spans="1:170" s="228" customFormat="1" ht="24.75" customHeight="1">
      <c r="A31" s="220">
        <f t="shared" si="0"/>
        <v>15</v>
      </c>
      <c r="B31" s="225" t="s">
        <v>672</v>
      </c>
      <c r="C31" s="244" t="s">
        <v>671</v>
      </c>
      <c r="D31" s="217" t="s">
        <v>27</v>
      </c>
      <c r="E31" s="245">
        <v>251.8</v>
      </c>
      <c r="F31" s="273"/>
      <c r="G31" s="206">
        <f t="shared" si="1"/>
        <v>0</v>
      </c>
      <c r="H31" s="273"/>
      <c r="I31" s="207">
        <f t="shared" si="2"/>
        <v>0</v>
      </c>
      <c r="K31" s="232"/>
      <c r="L31" s="233"/>
      <c r="M31" s="247"/>
      <c r="N31" s="233"/>
      <c r="O31" s="233"/>
      <c r="P31" s="233"/>
      <c r="Q31" s="24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</row>
    <row r="32" spans="1:170" s="228" customFormat="1" ht="24.75" customHeight="1">
      <c r="A32" s="220">
        <f t="shared" si="0"/>
        <v>16</v>
      </c>
      <c r="B32" s="225" t="s">
        <v>103</v>
      </c>
      <c r="C32" s="244" t="s">
        <v>104</v>
      </c>
      <c r="D32" s="217" t="s">
        <v>27</v>
      </c>
      <c r="E32" s="245">
        <v>5.39</v>
      </c>
      <c r="F32" s="273"/>
      <c r="G32" s="206">
        <f t="shared" si="1"/>
        <v>0</v>
      </c>
      <c r="H32" s="273"/>
      <c r="I32" s="207">
        <f t="shared" si="2"/>
        <v>0</v>
      </c>
      <c r="J32" s="233"/>
      <c r="K32" s="232"/>
      <c r="L32" s="233"/>
      <c r="M32" s="247"/>
      <c r="N32" s="233"/>
      <c r="O32" s="233"/>
      <c r="P32" s="233"/>
      <c r="Q32" s="24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  <c r="FL32" s="233"/>
      <c r="FM32" s="233"/>
      <c r="FN32" s="233"/>
    </row>
    <row r="33" spans="1:170" s="228" customFormat="1" ht="24.75" customHeight="1">
      <c r="A33" s="220">
        <f t="shared" si="0"/>
        <v>17</v>
      </c>
      <c r="B33" s="236" t="s">
        <v>674</v>
      </c>
      <c r="C33" s="237" t="s">
        <v>675</v>
      </c>
      <c r="D33" s="238" t="s">
        <v>10</v>
      </c>
      <c r="E33" s="231">
        <v>146</v>
      </c>
      <c r="F33" s="277"/>
      <c r="G33" s="206">
        <f t="shared" si="1"/>
        <v>0</v>
      </c>
      <c r="H33" s="277"/>
      <c r="I33" s="207">
        <f t="shared" si="2"/>
        <v>0</v>
      </c>
      <c r="J33" s="233"/>
      <c r="K33" s="232"/>
      <c r="L33" s="233"/>
      <c r="M33" s="233"/>
      <c r="N33" s="241"/>
      <c r="O33" s="242"/>
      <c r="P33" s="24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3"/>
      <c r="FF33" s="233"/>
      <c r="FG33" s="233"/>
      <c r="FH33" s="233"/>
      <c r="FI33" s="233"/>
      <c r="FJ33" s="233"/>
      <c r="FK33" s="233"/>
      <c r="FL33" s="233"/>
      <c r="FM33" s="233"/>
      <c r="FN33" s="233"/>
    </row>
    <row r="34" spans="1:170" s="228" customFormat="1" ht="24.75" customHeight="1">
      <c r="A34" s="220">
        <f t="shared" si="0"/>
        <v>18</v>
      </c>
      <c r="B34" s="225" t="s">
        <v>367</v>
      </c>
      <c r="C34" s="244" t="s">
        <v>368</v>
      </c>
      <c r="D34" s="217" t="s">
        <v>12</v>
      </c>
      <c r="E34" s="248">
        <v>3</v>
      </c>
      <c r="F34" s="273"/>
      <c r="G34" s="206">
        <f t="shared" si="1"/>
        <v>0</v>
      </c>
      <c r="H34" s="273"/>
      <c r="I34" s="207">
        <f t="shared" si="2"/>
        <v>0</v>
      </c>
      <c r="J34" s="233"/>
      <c r="K34" s="232"/>
      <c r="L34" s="233"/>
      <c r="M34" s="233"/>
      <c r="N34" s="243"/>
      <c r="O34" s="243"/>
      <c r="P34" s="243"/>
      <c r="Q34" s="24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</row>
    <row r="35" spans="1:170" s="228" customFormat="1" ht="24.75" customHeight="1">
      <c r="A35" s="220">
        <f t="shared" si="0"/>
        <v>19</v>
      </c>
      <c r="B35" s="225" t="s">
        <v>178</v>
      </c>
      <c r="C35" s="226" t="s">
        <v>107</v>
      </c>
      <c r="D35" s="217" t="s">
        <v>12</v>
      </c>
      <c r="E35" s="248">
        <v>3</v>
      </c>
      <c r="F35" s="273"/>
      <c r="G35" s="206">
        <f t="shared" si="1"/>
        <v>0</v>
      </c>
      <c r="H35" s="273"/>
      <c r="I35" s="207">
        <f t="shared" si="2"/>
        <v>0</v>
      </c>
      <c r="J35" s="233"/>
      <c r="K35" s="232"/>
      <c r="L35" s="243"/>
      <c r="M35" s="243"/>
      <c r="N35" s="243"/>
      <c r="O35" s="243"/>
      <c r="P35" s="243"/>
      <c r="Q35" s="24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/>
      <c r="EH35" s="233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3"/>
      <c r="FF35" s="233"/>
      <c r="FG35" s="233"/>
      <c r="FH35" s="233"/>
      <c r="FI35" s="233"/>
      <c r="FJ35" s="233"/>
      <c r="FK35" s="233"/>
      <c r="FL35" s="233"/>
      <c r="FM35" s="233"/>
      <c r="FN35" s="233"/>
    </row>
    <row r="36" spans="1:170" s="228" customFormat="1" ht="24.75" customHeight="1">
      <c r="A36" s="220">
        <f t="shared" si="0"/>
        <v>20</v>
      </c>
      <c r="B36" s="225" t="s">
        <v>179</v>
      </c>
      <c r="C36" s="226" t="s">
        <v>108</v>
      </c>
      <c r="D36" s="217" t="s">
        <v>12</v>
      </c>
      <c r="E36" s="248">
        <v>3</v>
      </c>
      <c r="F36" s="273"/>
      <c r="G36" s="206">
        <f t="shared" si="1"/>
        <v>0</v>
      </c>
      <c r="H36" s="273"/>
      <c r="I36" s="207">
        <f t="shared" si="2"/>
        <v>0</v>
      </c>
      <c r="J36" s="233"/>
      <c r="K36" s="232"/>
      <c r="L36" s="243"/>
      <c r="M36" s="243"/>
      <c r="N36" s="243"/>
      <c r="O36" s="243"/>
      <c r="P36" s="243"/>
      <c r="Q36" s="24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</row>
    <row r="37" spans="1:170" s="228" customFormat="1" ht="24.75" customHeight="1">
      <c r="A37" s="220">
        <f t="shared" si="0"/>
        <v>21</v>
      </c>
      <c r="B37" s="225" t="s">
        <v>186</v>
      </c>
      <c r="C37" s="226" t="s">
        <v>601</v>
      </c>
      <c r="D37" s="217" t="s">
        <v>12</v>
      </c>
      <c r="E37" s="248">
        <v>1</v>
      </c>
      <c r="F37" s="273"/>
      <c r="G37" s="206">
        <f t="shared" si="1"/>
        <v>0</v>
      </c>
      <c r="H37" s="273"/>
      <c r="I37" s="207">
        <f t="shared" si="2"/>
        <v>0</v>
      </c>
      <c r="J37" s="233"/>
      <c r="K37" s="232"/>
      <c r="L37" s="243"/>
      <c r="M37" s="243"/>
      <c r="N37" s="243"/>
      <c r="O37" s="243"/>
      <c r="P37" s="243"/>
      <c r="Q37" s="24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</row>
    <row r="38" spans="1:170" s="228" customFormat="1" ht="24.75" customHeight="1">
      <c r="A38" s="220">
        <f t="shared" si="0"/>
        <v>22</v>
      </c>
      <c r="B38" s="225" t="s">
        <v>602</v>
      </c>
      <c r="C38" s="226" t="s">
        <v>603</v>
      </c>
      <c r="D38" s="217" t="s">
        <v>12</v>
      </c>
      <c r="E38" s="248">
        <v>1</v>
      </c>
      <c r="F38" s="273"/>
      <c r="G38" s="206">
        <f t="shared" si="1"/>
        <v>0</v>
      </c>
      <c r="H38" s="273"/>
      <c r="I38" s="207">
        <f t="shared" si="2"/>
        <v>0</v>
      </c>
      <c r="J38" s="233"/>
      <c r="K38" s="232"/>
      <c r="L38" s="243"/>
      <c r="M38" s="243"/>
      <c r="N38" s="243"/>
      <c r="O38" s="243"/>
      <c r="P38" s="243"/>
      <c r="Q38" s="24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</row>
    <row r="39" spans="1:170" s="228" customFormat="1" ht="24.75" customHeight="1">
      <c r="A39" s="220">
        <f t="shared" si="0"/>
        <v>23</v>
      </c>
      <c r="B39" s="225" t="s">
        <v>604</v>
      </c>
      <c r="C39" s="226" t="s">
        <v>605</v>
      </c>
      <c r="D39" s="217" t="s">
        <v>12</v>
      </c>
      <c r="E39" s="248">
        <v>1</v>
      </c>
      <c r="F39" s="273"/>
      <c r="G39" s="206">
        <f t="shared" si="1"/>
        <v>0</v>
      </c>
      <c r="H39" s="273"/>
      <c r="I39" s="207">
        <f t="shared" si="2"/>
        <v>0</v>
      </c>
      <c r="J39" s="233"/>
      <c r="K39" s="232"/>
      <c r="L39" s="243"/>
      <c r="M39" s="243"/>
      <c r="N39" s="243"/>
      <c r="O39" s="243"/>
      <c r="P39" s="243"/>
      <c r="Q39" s="24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  <c r="FL39" s="233"/>
      <c r="FM39" s="233"/>
      <c r="FN39" s="233"/>
    </row>
    <row r="40" spans="1:170" s="228" customFormat="1" ht="24.75" customHeight="1">
      <c r="A40" s="220">
        <f t="shared" si="0"/>
        <v>24</v>
      </c>
      <c r="B40" s="225" t="s">
        <v>554</v>
      </c>
      <c r="C40" s="244" t="s">
        <v>670</v>
      </c>
      <c r="D40" s="217" t="s">
        <v>12</v>
      </c>
      <c r="E40" s="248">
        <v>1</v>
      </c>
      <c r="F40" s="273"/>
      <c r="G40" s="206">
        <f t="shared" si="1"/>
        <v>0</v>
      </c>
      <c r="H40" s="273"/>
      <c r="I40" s="207">
        <f t="shared" si="2"/>
        <v>0</v>
      </c>
      <c r="J40" s="233"/>
      <c r="K40" s="232"/>
      <c r="L40" s="249"/>
      <c r="M40" s="243"/>
      <c r="N40" s="233"/>
      <c r="O40" s="233"/>
      <c r="P40" s="233"/>
      <c r="Q40" s="24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3"/>
      <c r="FL40" s="233"/>
      <c r="FM40" s="233"/>
      <c r="FN40" s="233"/>
    </row>
    <row r="41" spans="1:170" s="239" customFormat="1" ht="35.25" customHeight="1">
      <c r="A41" s="220">
        <f t="shared" si="0"/>
        <v>25</v>
      </c>
      <c r="B41" s="225" t="s">
        <v>490</v>
      </c>
      <c r="C41" s="244" t="s">
        <v>573</v>
      </c>
      <c r="D41" s="217" t="s">
        <v>11</v>
      </c>
      <c r="E41" s="297">
        <v>4</v>
      </c>
      <c r="F41" s="273"/>
      <c r="G41" s="206">
        <f t="shared" si="1"/>
        <v>0</v>
      </c>
      <c r="H41" s="273"/>
      <c r="I41" s="207">
        <f t="shared" si="2"/>
        <v>0</v>
      </c>
      <c r="J41" s="289" t="s">
        <v>715</v>
      </c>
      <c r="K41" s="232"/>
      <c r="L41" s="249"/>
      <c r="M41" s="243"/>
      <c r="N41" s="233"/>
      <c r="O41" s="233"/>
      <c r="P41" s="233"/>
      <c r="Q41" s="24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3"/>
      <c r="EW41" s="233"/>
      <c r="EX41" s="233"/>
      <c r="EY41" s="233"/>
      <c r="EZ41" s="233"/>
      <c r="FA41" s="233"/>
      <c r="FB41" s="233"/>
      <c r="FC41" s="233"/>
      <c r="FD41" s="233"/>
      <c r="FE41" s="233"/>
      <c r="FF41" s="233"/>
      <c r="FG41" s="233"/>
      <c r="FH41" s="233"/>
      <c r="FI41" s="233"/>
      <c r="FJ41" s="233"/>
      <c r="FK41" s="233"/>
      <c r="FL41" s="233"/>
      <c r="FM41" s="233"/>
      <c r="FN41" s="233"/>
    </row>
    <row r="42" spans="1:170" s="239" customFormat="1" ht="36" customHeight="1">
      <c r="A42" s="220">
        <f t="shared" si="0"/>
        <v>26</v>
      </c>
      <c r="B42" s="225" t="s">
        <v>118</v>
      </c>
      <c r="C42" s="244" t="s">
        <v>560</v>
      </c>
      <c r="D42" s="217" t="s">
        <v>11</v>
      </c>
      <c r="E42" s="298">
        <v>507</v>
      </c>
      <c r="F42" s="273"/>
      <c r="G42" s="206">
        <f t="shared" si="1"/>
        <v>0</v>
      </c>
      <c r="H42" s="273"/>
      <c r="I42" s="207">
        <f t="shared" si="2"/>
        <v>0</v>
      </c>
      <c r="J42" s="289" t="s">
        <v>715</v>
      </c>
      <c r="K42" s="232"/>
      <c r="L42" s="249"/>
      <c r="M42" s="243"/>
      <c r="N42" s="233"/>
      <c r="O42" s="233"/>
      <c r="P42" s="233"/>
      <c r="Q42" s="24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</row>
    <row r="43" spans="1:170" s="239" customFormat="1" ht="24.75" customHeight="1">
      <c r="A43" s="220">
        <f t="shared" si="0"/>
        <v>27</v>
      </c>
      <c r="B43" s="225" t="s">
        <v>369</v>
      </c>
      <c r="C43" s="244" t="s">
        <v>673</v>
      </c>
      <c r="D43" s="217" t="s">
        <v>11</v>
      </c>
      <c r="E43" s="248">
        <v>90</v>
      </c>
      <c r="F43" s="273"/>
      <c r="G43" s="206">
        <f t="shared" si="1"/>
        <v>0</v>
      </c>
      <c r="H43" s="273"/>
      <c r="I43" s="207">
        <f t="shared" si="2"/>
        <v>0</v>
      </c>
      <c r="J43" s="233"/>
      <c r="K43" s="232"/>
      <c r="L43" s="249"/>
      <c r="M43" s="243"/>
      <c r="N43" s="233"/>
      <c r="O43" s="233"/>
      <c r="P43" s="233"/>
      <c r="Q43" s="24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  <c r="FF43" s="233"/>
      <c r="FG43" s="233"/>
      <c r="FH43" s="233"/>
      <c r="FI43" s="233"/>
      <c r="FJ43" s="233"/>
      <c r="FK43" s="233"/>
      <c r="FL43" s="233"/>
      <c r="FM43" s="233"/>
      <c r="FN43" s="233"/>
    </row>
    <row r="44" spans="1:17" s="233" customFormat="1" ht="24.75" customHeight="1">
      <c r="A44" s="290">
        <v>28</v>
      </c>
      <c r="B44" s="296" t="s">
        <v>133</v>
      </c>
      <c r="C44" s="291" t="s">
        <v>713</v>
      </c>
      <c r="D44" s="292" t="s">
        <v>11</v>
      </c>
      <c r="E44" s="293">
        <v>49</v>
      </c>
      <c r="F44" s="277"/>
      <c r="G44" s="294">
        <f t="shared" si="1"/>
        <v>0</v>
      </c>
      <c r="H44" s="277"/>
      <c r="I44" s="295">
        <f t="shared" si="2"/>
        <v>0</v>
      </c>
      <c r="J44" s="289" t="s">
        <v>714</v>
      </c>
      <c r="K44" s="232"/>
      <c r="L44" s="249"/>
      <c r="M44" s="243"/>
      <c r="Q44" s="243"/>
    </row>
    <row r="45" spans="1:170" s="239" customFormat="1" ht="24.75" customHeight="1">
      <c r="A45" s="220">
        <f t="shared" si="0"/>
        <v>29</v>
      </c>
      <c r="B45" s="225" t="s">
        <v>572</v>
      </c>
      <c r="C45" s="244" t="s">
        <v>574</v>
      </c>
      <c r="D45" s="217" t="s">
        <v>11</v>
      </c>
      <c r="E45" s="248">
        <v>739</v>
      </c>
      <c r="F45" s="273"/>
      <c r="G45" s="206">
        <f t="shared" si="1"/>
        <v>0</v>
      </c>
      <c r="H45" s="273"/>
      <c r="I45" s="207">
        <f t="shared" si="2"/>
        <v>0</v>
      </c>
      <c r="J45" s="233"/>
      <c r="K45" s="232"/>
      <c r="L45" s="249"/>
      <c r="M45" s="243"/>
      <c r="N45" s="233"/>
      <c r="O45" s="233"/>
      <c r="P45" s="233"/>
      <c r="Q45" s="24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233"/>
      <c r="FG45" s="233"/>
      <c r="FH45" s="233"/>
      <c r="FI45" s="233"/>
      <c r="FJ45" s="233"/>
      <c r="FK45" s="233"/>
      <c r="FL45" s="233"/>
      <c r="FM45" s="233"/>
      <c r="FN45" s="233"/>
    </row>
    <row r="46" spans="1:170" s="239" customFormat="1" ht="24.75" customHeight="1">
      <c r="A46" s="220">
        <f t="shared" si="0"/>
        <v>30</v>
      </c>
      <c r="B46" s="225" t="s">
        <v>33</v>
      </c>
      <c r="C46" s="244" t="s">
        <v>47</v>
      </c>
      <c r="D46" s="217" t="s">
        <v>11</v>
      </c>
      <c r="E46" s="248">
        <v>1420</v>
      </c>
      <c r="F46" s="273"/>
      <c r="G46" s="206">
        <f t="shared" si="1"/>
        <v>0</v>
      </c>
      <c r="H46" s="273"/>
      <c r="I46" s="207">
        <f t="shared" si="2"/>
        <v>0</v>
      </c>
      <c r="J46" s="233"/>
      <c r="K46" s="232"/>
      <c r="L46" s="249"/>
      <c r="M46" s="243"/>
      <c r="N46" s="233"/>
      <c r="O46" s="233"/>
      <c r="P46" s="233"/>
      <c r="Q46" s="24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3"/>
      <c r="FM46" s="233"/>
      <c r="FN46" s="233"/>
    </row>
    <row r="47" spans="1:170" s="239" customFormat="1" ht="24.75" customHeight="1">
      <c r="A47" s="220">
        <f t="shared" si="0"/>
        <v>31</v>
      </c>
      <c r="B47" s="225" t="s">
        <v>575</v>
      </c>
      <c r="C47" s="244" t="s">
        <v>576</v>
      </c>
      <c r="D47" s="217" t="s">
        <v>11</v>
      </c>
      <c r="E47" s="250">
        <v>163</v>
      </c>
      <c r="F47" s="273"/>
      <c r="G47" s="206">
        <f t="shared" si="1"/>
        <v>0</v>
      </c>
      <c r="H47" s="273"/>
      <c r="I47" s="207">
        <f t="shared" si="2"/>
        <v>0</v>
      </c>
      <c r="J47" s="233"/>
      <c r="K47" s="232"/>
      <c r="L47" s="249"/>
      <c r="M47" s="243"/>
      <c r="N47" s="233"/>
      <c r="O47" s="233"/>
      <c r="P47" s="233"/>
      <c r="Q47" s="24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3"/>
      <c r="FK47" s="233"/>
      <c r="FL47" s="233"/>
      <c r="FM47" s="233"/>
      <c r="FN47" s="233"/>
    </row>
    <row r="48" spans="1:170" s="239" customFormat="1" ht="24.75" customHeight="1">
      <c r="A48" s="220">
        <f t="shared" si="0"/>
        <v>32</v>
      </c>
      <c r="B48" s="225" t="s">
        <v>577</v>
      </c>
      <c r="C48" s="244" t="s">
        <v>578</v>
      </c>
      <c r="D48" s="217" t="s">
        <v>11</v>
      </c>
      <c r="E48" s="250">
        <v>201</v>
      </c>
      <c r="F48" s="273"/>
      <c r="G48" s="206">
        <f t="shared" si="1"/>
        <v>0</v>
      </c>
      <c r="H48" s="273"/>
      <c r="I48" s="207">
        <f t="shared" si="2"/>
        <v>0</v>
      </c>
      <c r="J48" s="233"/>
      <c r="K48" s="232"/>
      <c r="L48" s="249"/>
      <c r="M48" s="243"/>
      <c r="N48" s="233"/>
      <c r="O48" s="233"/>
      <c r="P48" s="233"/>
      <c r="Q48" s="24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  <c r="FF48" s="233"/>
      <c r="FG48" s="233"/>
      <c r="FH48" s="233"/>
      <c r="FI48" s="233"/>
      <c r="FJ48" s="233"/>
      <c r="FK48" s="233"/>
      <c r="FL48" s="233"/>
      <c r="FM48" s="233"/>
      <c r="FN48" s="233"/>
    </row>
    <row r="49" spans="1:170" s="239" customFormat="1" ht="24.75" customHeight="1">
      <c r="A49" s="220">
        <f t="shared" si="0"/>
        <v>33</v>
      </c>
      <c r="B49" s="225" t="s">
        <v>28</v>
      </c>
      <c r="C49" s="244" t="s">
        <v>579</v>
      </c>
      <c r="D49" s="217" t="s">
        <v>10</v>
      </c>
      <c r="E49" s="250">
        <v>590</v>
      </c>
      <c r="F49" s="273"/>
      <c r="G49" s="206">
        <f t="shared" si="1"/>
        <v>0</v>
      </c>
      <c r="H49" s="273"/>
      <c r="I49" s="207">
        <f t="shared" si="2"/>
        <v>0</v>
      </c>
      <c r="J49" s="233"/>
      <c r="K49" s="232"/>
      <c r="L49" s="249"/>
      <c r="M49" s="243"/>
      <c r="N49" s="233"/>
      <c r="O49" s="233"/>
      <c r="P49" s="233"/>
      <c r="Q49" s="24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  <c r="FF49" s="233"/>
      <c r="FG49" s="233"/>
      <c r="FH49" s="233"/>
      <c r="FI49" s="233"/>
      <c r="FJ49" s="233"/>
      <c r="FK49" s="233"/>
      <c r="FL49" s="233"/>
      <c r="FM49" s="233"/>
      <c r="FN49" s="233"/>
    </row>
    <row r="50" spans="1:170" s="239" customFormat="1" ht="24.75" customHeight="1">
      <c r="A50" s="220">
        <f t="shared" si="0"/>
        <v>34</v>
      </c>
      <c r="B50" s="225" t="s">
        <v>25</v>
      </c>
      <c r="C50" s="244" t="s">
        <v>580</v>
      </c>
      <c r="D50" s="217" t="s">
        <v>10</v>
      </c>
      <c r="E50" s="250">
        <v>127</v>
      </c>
      <c r="F50" s="273"/>
      <c r="G50" s="206">
        <f t="shared" si="1"/>
        <v>0</v>
      </c>
      <c r="H50" s="273"/>
      <c r="I50" s="207">
        <f t="shared" si="2"/>
        <v>0</v>
      </c>
      <c r="J50" s="233"/>
      <c r="K50" s="232"/>
      <c r="L50" s="249"/>
      <c r="M50" s="243"/>
      <c r="N50" s="233"/>
      <c r="O50" s="233"/>
      <c r="P50" s="233"/>
      <c r="Q50" s="24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233"/>
      <c r="FG50" s="233"/>
      <c r="FH50" s="233"/>
      <c r="FI50" s="233"/>
      <c r="FJ50" s="233"/>
      <c r="FK50" s="233"/>
      <c r="FL50" s="233"/>
      <c r="FM50" s="233"/>
      <c r="FN50" s="233"/>
    </row>
    <row r="51" spans="1:170" s="239" customFormat="1" ht="24.75" customHeight="1">
      <c r="A51" s="220">
        <f t="shared" si="0"/>
        <v>35</v>
      </c>
      <c r="B51" s="225" t="s">
        <v>29</v>
      </c>
      <c r="C51" s="244" t="s">
        <v>50</v>
      </c>
      <c r="D51" s="217" t="s">
        <v>30</v>
      </c>
      <c r="E51" s="250">
        <v>337</v>
      </c>
      <c r="F51" s="273"/>
      <c r="G51" s="206">
        <f t="shared" si="1"/>
        <v>0</v>
      </c>
      <c r="H51" s="273"/>
      <c r="I51" s="207">
        <f t="shared" si="2"/>
        <v>0</v>
      </c>
      <c r="J51" s="233"/>
      <c r="K51" s="232"/>
      <c r="L51" s="249"/>
      <c r="M51" s="243"/>
      <c r="N51" s="233"/>
      <c r="O51" s="233"/>
      <c r="P51" s="233"/>
      <c r="Q51" s="24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</row>
    <row r="52" spans="1:170" s="239" customFormat="1" ht="24.75" customHeight="1">
      <c r="A52" s="220">
        <f t="shared" si="0"/>
        <v>36</v>
      </c>
      <c r="B52" s="225" t="s">
        <v>607</v>
      </c>
      <c r="C52" s="244" t="s">
        <v>608</v>
      </c>
      <c r="D52" s="217" t="s">
        <v>11</v>
      </c>
      <c r="E52" s="250">
        <v>125</v>
      </c>
      <c r="F52" s="273"/>
      <c r="G52" s="206">
        <f t="shared" si="1"/>
        <v>0</v>
      </c>
      <c r="H52" s="273"/>
      <c r="I52" s="207">
        <f t="shared" si="2"/>
        <v>0</v>
      </c>
      <c r="J52" s="233"/>
      <c r="K52" s="232"/>
      <c r="L52" s="249"/>
      <c r="M52" s="243"/>
      <c r="N52" s="233"/>
      <c r="O52" s="233"/>
      <c r="P52" s="233"/>
      <c r="Q52" s="24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  <c r="FF52" s="233"/>
      <c r="FG52" s="233"/>
      <c r="FH52" s="233"/>
      <c r="FI52" s="233"/>
      <c r="FJ52" s="233"/>
      <c r="FK52" s="233"/>
      <c r="FL52" s="233"/>
      <c r="FM52" s="233"/>
      <c r="FN52" s="233"/>
    </row>
    <row r="53" spans="1:170" s="239" customFormat="1" ht="24.75" customHeight="1">
      <c r="A53" s="220">
        <f t="shared" si="0"/>
        <v>37</v>
      </c>
      <c r="B53" s="225" t="s">
        <v>609</v>
      </c>
      <c r="C53" s="244" t="s">
        <v>610</v>
      </c>
      <c r="D53" s="217" t="s">
        <v>12</v>
      </c>
      <c r="E53" s="250">
        <v>1</v>
      </c>
      <c r="F53" s="273"/>
      <c r="G53" s="206">
        <f t="shared" si="1"/>
        <v>0</v>
      </c>
      <c r="H53" s="273"/>
      <c r="I53" s="207">
        <f t="shared" si="2"/>
        <v>0</v>
      </c>
      <c r="J53" s="233"/>
      <c r="K53" s="232"/>
      <c r="L53" s="249"/>
      <c r="M53" s="243"/>
      <c r="N53" s="233"/>
      <c r="O53" s="233"/>
      <c r="P53" s="233"/>
      <c r="Q53" s="24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  <c r="FF53" s="233"/>
      <c r="FG53" s="233"/>
      <c r="FH53" s="233"/>
      <c r="FI53" s="233"/>
      <c r="FJ53" s="233"/>
      <c r="FK53" s="233"/>
      <c r="FL53" s="233"/>
      <c r="FM53" s="233"/>
      <c r="FN53" s="233"/>
    </row>
    <row r="54" spans="1:170" s="239" customFormat="1" ht="24.75" customHeight="1">
      <c r="A54" s="220">
        <f t="shared" si="0"/>
        <v>38</v>
      </c>
      <c r="B54" s="225" t="s">
        <v>611</v>
      </c>
      <c r="C54" s="244" t="s">
        <v>612</v>
      </c>
      <c r="D54" s="217" t="s">
        <v>12</v>
      </c>
      <c r="E54" s="250">
        <v>1</v>
      </c>
      <c r="F54" s="273"/>
      <c r="G54" s="206">
        <f t="shared" si="1"/>
        <v>0</v>
      </c>
      <c r="H54" s="273"/>
      <c r="I54" s="207">
        <f t="shared" si="2"/>
        <v>0</v>
      </c>
      <c r="J54" s="233"/>
      <c r="K54" s="232"/>
      <c r="L54" s="249"/>
      <c r="M54" s="243"/>
      <c r="N54" s="233"/>
      <c r="O54" s="233"/>
      <c r="P54" s="233"/>
      <c r="Q54" s="24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  <c r="FF54" s="233"/>
      <c r="FG54" s="233"/>
      <c r="FH54" s="233"/>
      <c r="FI54" s="233"/>
      <c r="FJ54" s="233"/>
      <c r="FK54" s="233"/>
      <c r="FL54" s="233"/>
      <c r="FM54" s="233"/>
      <c r="FN54" s="233"/>
    </row>
    <row r="55" spans="1:170" s="239" customFormat="1" ht="24.75" customHeight="1">
      <c r="A55" s="220">
        <f t="shared" si="0"/>
        <v>39</v>
      </c>
      <c r="B55" s="236" t="s">
        <v>617</v>
      </c>
      <c r="C55" s="244" t="s">
        <v>606</v>
      </c>
      <c r="D55" s="217" t="s">
        <v>11</v>
      </c>
      <c r="E55" s="250">
        <v>108</v>
      </c>
      <c r="F55" s="273"/>
      <c r="G55" s="206">
        <f t="shared" si="1"/>
        <v>0</v>
      </c>
      <c r="H55" s="273"/>
      <c r="I55" s="207">
        <f t="shared" si="2"/>
        <v>0</v>
      </c>
      <c r="J55" s="233"/>
      <c r="K55" s="232"/>
      <c r="L55" s="249"/>
      <c r="M55" s="243"/>
      <c r="N55" s="233"/>
      <c r="O55" s="233"/>
      <c r="P55" s="233"/>
      <c r="Q55" s="24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  <c r="FF55" s="233"/>
      <c r="FG55" s="233"/>
      <c r="FH55" s="233"/>
      <c r="FI55" s="233"/>
      <c r="FJ55" s="233"/>
      <c r="FK55" s="233"/>
      <c r="FL55" s="233"/>
      <c r="FM55" s="233"/>
      <c r="FN55" s="233"/>
    </row>
    <row r="56" spans="1:170" s="239" customFormat="1" ht="24.75" customHeight="1">
      <c r="A56" s="220">
        <f t="shared" si="0"/>
        <v>40</v>
      </c>
      <c r="B56" s="225" t="s">
        <v>613</v>
      </c>
      <c r="C56" s="244" t="s">
        <v>614</v>
      </c>
      <c r="D56" s="217" t="s">
        <v>12</v>
      </c>
      <c r="E56" s="250">
        <v>1</v>
      </c>
      <c r="F56" s="273"/>
      <c r="G56" s="206">
        <f t="shared" si="1"/>
        <v>0</v>
      </c>
      <c r="H56" s="273"/>
      <c r="I56" s="207">
        <f t="shared" si="2"/>
        <v>0</v>
      </c>
      <c r="J56" s="233"/>
      <c r="K56" s="232"/>
      <c r="L56" s="249"/>
      <c r="M56" s="243"/>
      <c r="N56" s="233"/>
      <c r="O56" s="233"/>
      <c r="P56" s="233"/>
      <c r="Q56" s="24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  <c r="FF56" s="233"/>
      <c r="FG56" s="233"/>
      <c r="FH56" s="233"/>
      <c r="FI56" s="233"/>
      <c r="FJ56" s="233"/>
      <c r="FK56" s="233"/>
      <c r="FL56" s="233"/>
      <c r="FM56" s="233"/>
      <c r="FN56" s="233"/>
    </row>
    <row r="57" spans="1:170" s="239" customFormat="1" ht="24.75" customHeight="1">
      <c r="A57" s="220">
        <f t="shared" si="0"/>
        <v>41</v>
      </c>
      <c r="B57" s="225" t="s">
        <v>615</v>
      </c>
      <c r="C57" s="244" t="s">
        <v>616</v>
      </c>
      <c r="D57" s="217" t="s">
        <v>12</v>
      </c>
      <c r="E57" s="250">
        <v>1</v>
      </c>
      <c r="F57" s="273"/>
      <c r="G57" s="206">
        <f t="shared" si="1"/>
        <v>0</v>
      </c>
      <c r="H57" s="273"/>
      <c r="I57" s="207">
        <f t="shared" si="2"/>
        <v>0</v>
      </c>
      <c r="J57" s="233"/>
      <c r="K57" s="232"/>
      <c r="L57" s="249"/>
      <c r="M57" s="243"/>
      <c r="N57" s="233"/>
      <c r="O57" s="233"/>
      <c r="P57" s="233"/>
      <c r="Q57" s="24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  <c r="FF57" s="233"/>
      <c r="FG57" s="233"/>
      <c r="FH57" s="233"/>
      <c r="FI57" s="233"/>
      <c r="FJ57" s="233"/>
      <c r="FK57" s="233"/>
      <c r="FL57" s="233"/>
      <c r="FM57" s="233"/>
      <c r="FN57" s="233"/>
    </row>
    <row r="58" spans="1:170" s="239" customFormat="1" ht="24.75" customHeight="1">
      <c r="A58" s="220">
        <f t="shared" si="0"/>
        <v>42</v>
      </c>
      <c r="B58" s="236" t="s">
        <v>676</v>
      </c>
      <c r="C58" s="244" t="s">
        <v>677</v>
      </c>
      <c r="D58" s="217" t="s">
        <v>11</v>
      </c>
      <c r="E58" s="250">
        <v>40</v>
      </c>
      <c r="F58" s="273"/>
      <c r="G58" s="206">
        <f t="shared" si="1"/>
        <v>0</v>
      </c>
      <c r="H58" s="273"/>
      <c r="I58" s="207">
        <f t="shared" si="2"/>
        <v>0</v>
      </c>
      <c r="J58" s="233"/>
      <c r="K58" s="232"/>
      <c r="L58" s="249"/>
      <c r="M58" s="243"/>
      <c r="N58" s="233"/>
      <c r="O58" s="233"/>
      <c r="P58" s="233"/>
      <c r="Q58" s="24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  <c r="FF58" s="233"/>
      <c r="FG58" s="233"/>
      <c r="FH58" s="233"/>
      <c r="FI58" s="233"/>
      <c r="FJ58" s="233"/>
      <c r="FK58" s="233"/>
      <c r="FL58" s="233"/>
      <c r="FM58" s="233"/>
      <c r="FN58" s="233"/>
    </row>
    <row r="59" spans="1:170" s="239" customFormat="1" ht="24.75" customHeight="1">
      <c r="A59" s="220">
        <f t="shared" si="0"/>
        <v>43</v>
      </c>
      <c r="B59" s="236" t="s">
        <v>26</v>
      </c>
      <c r="C59" s="244" t="s">
        <v>51</v>
      </c>
      <c r="D59" s="217" t="s">
        <v>10</v>
      </c>
      <c r="E59" s="250">
        <v>846</v>
      </c>
      <c r="F59" s="273"/>
      <c r="G59" s="206">
        <f t="shared" si="1"/>
        <v>0</v>
      </c>
      <c r="H59" s="273"/>
      <c r="I59" s="207">
        <f t="shared" si="2"/>
        <v>0</v>
      </c>
      <c r="J59" s="233"/>
      <c r="K59" s="232"/>
      <c r="L59" s="249"/>
      <c r="M59" s="243"/>
      <c r="N59" s="233"/>
      <c r="O59" s="233"/>
      <c r="P59" s="233"/>
      <c r="Q59" s="24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233"/>
      <c r="EW59" s="233"/>
      <c r="EX59" s="233"/>
      <c r="EY59" s="233"/>
      <c r="EZ59" s="233"/>
      <c r="FA59" s="233"/>
      <c r="FB59" s="233"/>
      <c r="FC59" s="233"/>
      <c r="FD59" s="233"/>
      <c r="FE59" s="233"/>
      <c r="FF59" s="233"/>
      <c r="FG59" s="233"/>
      <c r="FH59" s="233"/>
      <c r="FI59" s="233"/>
      <c r="FJ59" s="233"/>
      <c r="FK59" s="233"/>
      <c r="FL59" s="233"/>
      <c r="FM59" s="233"/>
      <c r="FN59" s="233"/>
    </row>
    <row r="60" spans="1:170" s="239" customFormat="1" ht="24.75" customHeight="1">
      <c r="A60" s="220">
        <f t="shared" si="0"/>
        <v>44</v>
      </c>
      <c r="B60" s="236" t="s">
        <v>678</v>
      </c>
      <c r="C60" s="244" t="s">
        <v>679</v>
      </c>
      <c r="D60" s="217" t="s">
        <v>9</v>
      </c>
      <c r="E60" s="250">
        <v>1</v>
      </c>
      <c r="F60" s="273"/>
      <c r="G60" s="206">
        <f t="shared" si="1"/>
        <v>0</v>
      </c>
      <c r="H60" s="273"/>
      <c r="I60" s="207">
        <f t="shared" si="2"/>
        <v>0</v>
      </c>
      <c r="J60" s="233"/>
      <c r="K60" s="232"/>
      <c r="L60" s="249"/>
      <c r="M60" s="243"/>
      <c r="N60" s="233"/>
      <c r="O60" s="233"/>
      <c r="P60" s="233"/>
      <c r="Q60" s="24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3"/>
      <c r="ED60" s="233"/>
      <c r="EE60" s="233"/>
      <c r="EF60" s="233"/>
      <c r="EG60" s="233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3"/>
      <c r="ES60" s="233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3"/>
      <c r="FG60" s="233"/>
      <c r="FH60" s="233"/>
      <c r="FI60" s="233"/>
      <c r="FJ60" s="233"/>
      <c r="FK60" s="233"/>
      <c r="FL60" s="233"/>
      <c r="FM60" s="233"/>
      <c r="FN60" s="233"/>
    </row>
    <row r="61" spans="1:170" s="239" customFormat="1" ht="24.75" customHeight="1">
      <c r="A61" s="220">
        <f t="shared" si="0"/>
        <v>45</v>
      </c>
      <c r="B61" s="236" t="s">
        <v>620</v>
      </c>
      <c r="C61" s="244" t="s">
        <v>621</v>
      </c>
      <c r="D61" s="217" t="s">
        <v>12</v>
      </c>
      <c r="E61" s="250">
        <v>2</v>
      </c>
      <c r="F61" s="273"/>
      <c r="G61" s="206">
        <f t="shared" si="1"/>
        <v>0</v>
      </c>
      <c r="H61" s="273"/>
      <c r="I61" s="207">
        <f t="shared" si="2"/>
        <v>0</v>
      </c>
      <c r="J61" s="233"/>
      <c r="K61" s="232"/>
      <c r="L61" s="249"/>
      <c r="M61" s="243"/>
      <c r="N61" s="233"/>
      <c r="O61" s="233"/>
      <c r="P61" s="233"/>
      <c r="Q61" s="24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33"/>
      <c r="ED61" s="233"/>
      <c r="EE61" s="233"/>
      <c r="EF61" s="233"/>
      <c r="EG61" s="233"/>
      <c r="EH61" s="233"/>
      <c r="EI61" s="233"/>
      <c r="EJ61" s="233"/>
      <c r="EK61" s="233"/>
      <c r="EL61" s="233"/>
      <c r="EM61" s="233"/>
      <c r="EN61" s="233"/>
      <c r="EO61" s="233"/>
      <c r="EP61" s="233"/>
      <c r="EQ61" s="233"/>
      <c r="ER61" s="233"/>
      <c r="ES61" s="233"/>
      <c r="ET61" s="233"/>
      <c r="EU61" s="233"/>
      <c r="EV61" s="233"/>
      <c r="EW61" s="233"/>
      <c r="EX61" s="233"/>
      <c r="EY61" s="233"/>
      <c r="EZ61" s="233"/>
      <c r="FA61" s="233"/>
      <c r="FB61" s="233"/>
      <c r="FC61" s="233"/>
      <c r="FD61" s="233"/>
      <c r="FE61" s="233"/>
      <c r="FF61" s="233"/>
      <c r="FG61" s="233"/>
      <c r="FH61" s="233"/>
      <c r="FI61" s="233"/>
      <c r="FJ61" s="233"/>
      <c r="FK61" s="233"/>
      <c r="FL61" s="233"/>
      <c r="FM61" s="233"/>
      <c r="FN61" s="233"/>
    </row>
    <row r="62" spans="1:170" s="239" customFormat="1" ht="24.75" customHeight="1">
      <c r="A62" s="220">
        <f t="shared" si="0"/>
        <v>46</v>
      </c>
      <c r="B62" s="236" t="s">
        <v>622</v>
      </c>
      <c r="C62" s="244" t="s">
        <v>623</v>
      </c>
      <c r="D62" s="217" t="s">
        <v>12</v>
      </c>
      <c r="E62" s="250">
        <v>2</v>
      </c>
      <c r="F62" s="273"/>
      <c r="G62" s="206">
        <f t="shared" si="1"/>
        <v>0</v>
      </c>
      <c r="H62" s="273"/>
      <c r="I62" s="207">
        <f t="shared" si="2"/>
        <v>0</v>
      </c>
      <c r="J62" s="233"/>
      <c r="K62" s="232"/>
      <c r="L62" s="249"/>
      <c r="M62" s="243"/>
      <c r="N62" s="233"/>
      <c r="O62" s="233"/>
      <c r="P62" s="233"/>
      <c r="Q62" s="24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3"/>
      <c r="FG62" s="233"/>
      <c r="FH62" s="233"/>
      <c r="FI62" s="233"/>
      <c r="FJ62" s="233"/>
      <c r="FK62" s="233"/>
      <c r="FL62" s="233"/>
      <c r="FM62" s="233"/>
      <c r="FN62" s="233"/>
    </row>
    <row r="63" spans="1:170" s="239" customFormat="1" ht="24.75" customHeight="1">
      <c r="A63" s="220">
        <f t="shared" si="0"/>
        <v>47</v>
      </c>
      <c r="B63" s="236" t="s">
        <v>682</v>
      </c>
      <c r="C63" s="244" t="s">
        <v>624</v>
      </c>
      <c r="D63" s="217" t="s">
        <v>12</v>
      </c>
      <c r="E63" s="250">
        <v>1</v>
      </c>
      <c r="F63" s="273"/>
      <c r="G63" s="206">
        <f t="shared" si="1"/>
        <v>0</v>
      </c>
      <c r="H63" s="273"/>
      <c r="I63" s="207">
        <f t="shared" si="2"/>
        <v>0</v>
      </c>
      <c r="J63" s="233"/>
      <c r="K63" s="232"/>
      <c r="L63" s="249"/>
      <c r="M63" s="243"/>
      <c r="N63" s="233"/>
      <c r="O63" s="233"/>
      <c r="P63" s="233"/>
      <c r="Q63" s="24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C63" s="233"/>
      <c r="ED63" s="233"/>
      <c r="EE63" s="233"/>
      <c r="EF63" s="233"/>
      <c r="EG63" s="233"/>
      <c r="EH63" s="233"/>
      <c r="EI63" s="233"/>
      <c r="EJ63" s="233"/>
      <c r="EK63" s="233"/>
      <c r="EL63" s="233"/>
      <c r="EM63" s="233"/>
      <c r="EN63" s="233"/>
      <c r="EO63" s="233"/>
      <c r="EP63" s="233"/>
      <c r="EQ63" s="233"/>
      <c r="ER63" s="233"/>
      <c r="ES63" s="233"/>
      <c r="ET63" s="233"/>
      <c r="EU63" s="233"/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3"/>
      <c r="FG63" s="233"/>
      <c r="FH63" s="233"/>
      <c r="FI63" s="233"/>
      <c r="FJ63" s="233"/>
      <c r="FK63" s="233"/>
      <c r="FL63" s="233"/>
      <c r="FM63" s="233"/>
      <c r="FN63" s="233"/>
    </row>
    <row r="64" spans="1:170" s="239" customFormat="1" ht="24.75" customHeight="1">
      <c r="A64" s="220">
        <f t="shared" si="0"/>
        <v>48</v>
      </c>
      <c r="B64" s="236" t="s">
        <v>697</v>
      </c>
      <c r="C64" s="244" t="s">
        <v>698</v>
      </c>
      <c r="D64" s="217" t="s">
        <v>11</v>
      </c>
      <c r="E64" s="250">
        <v>56</v>
      </c>
      <c r="F64" s="273"/>
      <c r="G64" s="206">
        <f t="shared" si="1"/>
        <v>0</v>
      </c>
      <c r="H64" s="273"/>
      <c r="I64" s="207">
        <f t="shared" si="2"/>
        <v>0</v>
      </c>
      <c r="J64" s="233"/>
      <c r="K64" s="232"/>
      <c r="L64" s="249"/>
      <c r="M64" s="243"/>
      <c r="N64" s="233"/>
      <c r="O64" s="233"/>
      <c r="P64" s="233"/>
      <c r="Q64" s="24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  <c r="EC64" s="233"/>
      <c r="ED64" s="233"/>
      <c r="EE64" s="233"/>
      <c r="EF64" s="233"/>
      <c r="EG64" s="233"/>
      <c r="EH64" s="233"/>
      <c r="EI64" s="233"/>
      <c r="EJ64" s="233"/>
      <c r="EK64" s="233"/>
      <c r="EL64" s="233"/>
      <c r="EM64" s="233"/>
      <c r="EN64" s="233"/>
      <c r="EO64" s="233"/>
      <c r="EP64" s="233"/>
      <c r="EQ64" s="233"/>
      <c r="ER64" s="233"/>
      <c r="ES64" s="233"/>
      <c r="ET64" s="233"/>
      <c r="EU64" s="233"/>
      <c r="EV64" s="233"/>
      <c r="EW64" s="233"/>
      <c r="EX64" s="233"/>
      <c r="EY64" s="233"/>
      <c r="EZ64" s="233"/>
      <c r="FA64" s="233"/>
      <c r="FB64" s="233"/>
      <c r="FC64" s="233"/>
      <c r="FD64" s="233"/>
      <c r="FE64" s="233"/>
      <c r="FF64" s="233"/>
      <c r="FG64" s="233"/>
      <c r="FH64" s="233"/>
      <c r="FI64" s="233"/>
      <c r="FJ64" s="233"/>
      <c r="FK64" s="233"/>
      <c r="FL64" s="233"/>
      <c r="FM64" s="233"/>
      <c r="FN64" s="233"/>
    </row>
    <row r="65" spans="1:170" s="239" customFormat="1" ht="24.75" customHeight="1">
      <c r="A65" s="220">
        <f t="shared" si="0"/>
        <v>49</v>
      </c>
      <c r="B65" s="236" t="s">
        <v>158</v>
      </c>
      <c r="C65" s="251" t="s">
        <v>159</v>
      </c>
      <c r="D65" s="217" t="s">
        <v>11</v>
      </c>
      <c r="E65" s="250">
        <v>50</v>
      </c>
      <c r="F65" s="273"/>
      <c r="G65" s="206">
        <f t="shared" si="1"/>
        <v>0</v>
      </c>
      <c r="H65" s="273"/>
      <c r="I65" s="207">
        <f t="shared" si="2"/>
        <v>0</v>
      </c>
      <c r="J65" s="233"/>
      <c r="K65" s="232"/>
      <c r="L65" s="249"/>
      <c r="M65" s="243"/>
      <c r="N65" s="233"/>
      <c r="O65" s="233"/>
      <c r="P65" s="233"/>
      <c r="Q65" s="24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  <c r="EC65" s="233"/>
      <c r="ED65" s="233"/>
      <c r="EE65" s="233"/>
      <c r="EF65" s="233"/>
      <c r="EG65" s="233"/>
      <c r="EH65" s="233"/>
      <c r="EI65" s="233"/>
      <c r="EJ65" s="233"/>
      <c r="EK65" s="233"/>
      <c r="EL65" s="233"/>
      <c r="EM65" s="233"/>
      <c r="EN65" s="233"/>
      <c r="EO65" s="233"/>
      <c r="EP65" s="233"/>
      <c r="EQ65" s="233"/>
      <c r="ER65" s="233"/>
      <c r="ES65" s="233"/>
      <c r="ET65" s="233"/>
      <c r="EU65" s="233"/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3"/>
      <c r="FG65" s="233"/>
      <c r="FH65" s="233"/>
      <c r="FI65" s="233"/>
      <c r="FJ65" s="233"/>
      <c r="FK65" s="233"/>
      <c r="FL65" s="233"/>
      <c r="FM65" s="233"/>
      <c r="FN65" s="233"/>
    </row>
    <row r="66" spans="1:170" s="239" customFormat="1" ht="24.75" customHeight="1">
      <c r="A66" s="220">
        <f t="shared" si="0"/>
        <v>50</v>
      </c>
      <c r="B66" s="252" t="s">
        <v>683</v>
      </c>
      <c r="C66" s="253" t="s">
        <v>688</v>
      </c>
      <c r="D66" s="254" t="s">
        <v>12</v>
      </c>
      <c r="E66" s="255">
        <v>1</v>
      </c>
      <c r="F66" s="278"/>
      <c r="G66" s="206">
        <f t="shared" si="1"/>
        <v>0</v>
      </c>
      <c r="H66" s="278"/>
      <c r="I66" s="207">
        <f t="shared" si="2"/>
        <v>0</v>
      </c>
      <c r="J66" s="233"/>
      <c r="K66" s="232"/>
      <c r="L66" s="249"/>
      <c r="M66" s="243"/>
      <c r="N66" s="233"/>
      <c r="O66" s="233"/>
      <c r="P66" s="233"/>
      <c r="Q66" s="24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  <c r="EC66" s="233"/>
      <c r="ED66" s="233"/>
      <c r="EE66" s="233"/>
      <c r="EF66" s="233"/>
      <c r="EG66" s="233"/>
      <c r="EH66" s="233"/>
      <c r="EI66" s="233"/>
      <c r="EJ66" s="233"/>
      <c r="EK66" s="233"/>
      <c r="EL66" s="233"/>
      <c r="EM66" s="233"/>
      <c r="EN66" s="233"/>
      <c r="EO66" s="233"/>
      <c r="EP66" s="233"/>
      <c r="EQ66" s="233"/>
      <c r="ER66" s="233"/>
      <c r="ES66" s="233"/>
      <c r="ET66" s="233"/>
      <c r="EU66" s="233"/>
      <c r="EV66" s="233"/>
      <c r="EW66" s="233"/>
      <c r="EX66" s="233"/>
      <c r="EY66" s="233"/>
      <c r="EZ66" s="233"/>
      <c r="FA66" s="233"/>
      <c r="FB66" s="233"/>
      <c r="FC66" s="233"/>
      <c r="FD66" s="233"/>
      <c r="FE66" s="233"/>
      <c r="FF66" s="233"/>
      <c r="FG66" s="233"/>
      <c r="FH66" s="233"/>
      <c r="FI66" s="233"/>
      <c r="FJ66" s="233"/>
      <c r="FK66" s="233"/>
      <c r="FL66" s="233"/>
      <c r="FM66" s="233"/>
      <c r="FN66" s="233"/>
    </row>
    <row r="67" spans="1:170" ht="24.75" customHeight="1">
      <c r="A67" s="324" t="s">
        <v>52</v>
      </c>
      <c r="B67" s="325"/>
      <c r="C67" s="325"/>
      <c r="D67" s="325"/>
      <c r="E67" s="326"/>
      <c r="F67" s="279"/>
      <c r="G67" s="193"/>
      <c r="H67" s="279"/>
      <c r="I67" s="193"/>
      <c r="K67" s="256"/>
      <c r="L67" s="216"/>
      <c r="M67" s="214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</row>
    <row r="68" spans="1:13" ht="24.75" customHeight="1">
      <c r="A68" s="309" t="s">
        <v>150</v>
      </c>
      <c r="B68" s="310"/>
      <c r="C68" s="310"/>
      <c r="D68" s="310"/>
      <c r="E68" s="310"/>
      <c r="F68" s="310"/>
      <c r="G68" s="310"/>
      <c r="H68" s="191"/>
      <c r="I68" s="190"/>
      <c r="K68" s="215"/>
      <c r="L68" s="216"/>
      <c r="M68" s="214"/>
    </row>
    <row r="69" spans="1:11" s="216" customFormat="1" ht="24.75" customHeight="1">
      <c r="A69" s="257">
        <f>ROW()-18</f>
        <v>51</v>
      </c>
      <c r="B69" s="258" t="s">
        <v>286</v>
      </c>
      <c r="C69" s="259" t="s">
        <v>287</v>
      </c>
      <c r="D69" s="260" t="s">
        <v>34</v>
      </c>
      <c r="E69" s="260">
        <v>20</v>
      </c>
      <c r="F69" s="276"/>
      <c r="G69" s="206">
        <f>F69*E69</f>
        <v>0</v>
      </c>
      <c r="H69" s="273"/>
      <c r="I69" s="207">
        <f>H69*E69</f>
        <v>0</v>
      </c>
      <c r="K69" s="261"/>
    </row>
    <row r="70" spans="1:11" s="216" customFormat="1" ht="24.75" customHeight="1">
      <c r="A70" s="260">
        <f>ROW()-18</f>
        <v>52</v>
      </c>
      <c r="B70" s="262" t="s">
        <v>561</v>
      </c>
      <c r="C70" s="251" t="s">
        <v>562</v>
      </c>
      <c r="D70" s="257" t="s">
        <v>34</v>
      </c>
      <c r="E70" s="257">
        <v>1</v>
      </c>
      <c r="F70" s="273"/>
      <c r="G70" s="206">
        <f aca="true" t="shared" si="3" ref="G70:G83">F70*E70</f>
        <v>0</v>
      </c>
      <c r="H70" s="273"/>
      <c r="I70" s="207">
        <f aca="true" t="shared" si="4" ref="I70:I83">H70*E70</f>
        <v>0</v>
      </c>
      <c r="K70" s="261"/>
    </row>
    <row r="71" spans="1:11" s="216" customFormat="1" ht="24.75" customHeight="1">
      <c r="A71" s="260">
        <f aca="true" t="shared" si="5" ref="A71:A83">ROW()-18</f>
        <v>53</v>
      </c>
      <c r="B71" s="262" t="s">
        <v>585</v>
      </c>
      <c r="C71" s="251" t="s">
        <v>586</v>
      </c>
      <c r="D71" s="257" t="s">
        <v>34</v>
      </c>
      <c r="E71" s="257">
        <v>3</v>
      </c>
      <c r="F71" s="273"/>
      <c r="G71" s="206">
        <f t="shared" si="3"/>
        <v>0</v>
      </c>
      <c r="H71" s="273"/>
      <c r="I71" s="207">
        <f t="shared" si="4"/>
        <v>0</v>
      </c>
      <c r="K71" s="261"/>
    </row>
    <row r="72" spans="1:11" s="216" customFormat="1" ht="24.75" customHeight="1">
      <c r="A72" s="260">
        <f t="shared" si="5"/>
        <v>54</v>
      </c>
      <c r="B72" s="262" t="s">
        <v>391</v>
      </c>
      <c r="C72" s="251" t="s">
        <v>618</v>
      </c>
      <c r="D72" s="257" t="s">
        <v>34</v>
      </c>
      <c r="E72" s="257">
        <v>3</v>
      </c>
      <c r="F72" s="273"/>
      <c r="G72" s="206">
        <f t="shared" si="3"/>
        <v>0</v>
      </c>
      <c r="H72" s="273"/>
      <c r="I72" s="207">
        <f t="shared" si="4"/>
        <v>0</v>
      </c>
      <c r="K72" s="261"/>
    </row>
    <row r="73" spans="1:11" s="216" customFormat="1" ht="24.75" customHeight="1">
      <c r="A73" s="260">
        <f t="shared" si="5"/>
        <v>55</v>
      </c>
      <c r="B73" s="236" t="s">
        <v>680</v>
      </c>
      <c r="C73" s="251" t="s">
        <v>681</v>
      </c>
      <c r="D73" s="257" t="s">
        <v>34</v>
      </c>
      <c r="E73" s="257">
        <v>2</v>
      </c>
      <c r="F73" s="273"/>
      <c r="G73" s="206">
        <f t="shared" si="3"/>
        <v>0</v>
      </c>
      <c r="H73" s="273"/>
      <c r="I73" s="207">
        <f t="shared" si="4"/>
        <v>0</v>
      </c>
      <c r="K73" s="261"/>
    </row>
    <row r="74" spans="1:11" s="216" customFormat="1" ht="24.75" customHeight="1">
      <c r="A74" s="260">
        <f t="shared" si="5"/>
        <v>56</v>
      </c>
      <c r="B74" s="262" t="s">
        <v>587</v>
      </c>
      <c r="C74" s="251" t="s">
        <v>588</v>
      </c>
      <c r="D74" s="257" t="s">
        <v>12</v>
      </c>
      <c r="E74" s="257">
        <v>70</v>
      </c>
      <c r="F74" s="273"/>
      <c r="G74" s="206">
        <f t="shared" si="3"/>
        <v>0</v>
      </c>
      <c r="H74" s="273"/>
      <c r="I74" s="207">
        <f t="shared" si="4"/>
        <v>0</v>
      </c>
      <c r="K74" s="261"/>
    </row>
    <row r="75" spans="1:11" s="216" customFormat="1" ht="24.75" customHeight="1">
      <c r="A75" s="260">
        <f t="shared" si="5"/>
        <v>57</v>
      </c>
      <c r="B75" s="262" t="s">
        <v>404</v>
      </c>
      <c r="C75" s="251" t="s">
        <v>589</v>
      </c>
      <c r="D75" s="257" t="s">
        <v>11</v>
      </c>
      <c r="E75" s="257">
        <v>240</v>
      </c>
      <c r="F75" s="273"/>
      <c r="G75" s="206">
        <f t="shared" si="3"/>
        <v>0</v>
      </c>
      <c r="H75" s="273"/>
      <c r="I75" s="207">
        <f t="shared" si="4"/>
        <v>0</v>
      </c>
      <c r="K75" s="261"/>
    </row>
    <row r="76" spans="1:11" s="216" customFormat="1" ht="24.75" customHeight="1">
      <c r="A76" s="260">
        <f t="shared" si="5"/>
        <v>58</v>
      </c>
      <c r="B76" s="262" t="s">
        <v>406</v>
      </c>
      <c r="C76" s="251" t="s">
        <v>590</v>
      </c>
      <c r="D76" s="257" t="s">
        <v>11</v>
      </c>
      <c r="E76" s="257">
        <v>260</v>
      </c>
      <c r="F76" s="273"/>
      <c r="G76" s="206">
        <f t="shared" si="3"/>
        <v>0</v>
      </c>
      <c r="H76" s="273"/>
      <c r="I76" s="207">
        <f t="shared" si="4"/>
        <v>0</v>
      </c>
      <c r="K76" s="261"/>
    </row>
    <row r="77" spans="1:11" s="216" customFormat="1" ht="24.75" customHeight="1">
      <c r="A77" s="260">
        <f t="shared" si="5"/>
        <v>59</v>
      </c>
      <c r="B77" s="262" t="s">
        <v>294</v>
      </c>
      <c r="C77" s="251" t="s">
        <v>591</v>
      </c>
      <c r="D77" s="257" t="s">
        <v>79</v>
      </c>
      <c r="E77" s="257">
        <v>0.034</v>
      </c>
      <c r="F77" s="273"/>
      <c r="G77" s="206">
        <f t="shared" si="3"/>
        <v>0</v>
      </c>
      <c r="H77" s="273"/>
      <c r="I77" s="207">
        <f t="shared" si="4"/>
        <v>0</v>
      </c>
      <c r="K77" s="261"/>
    </row>
    <row r="78" spans="1:11" s="216" customFormat="1" ht="24.75" customHeight="1">
      <c r="A78" s="260">
        <f t="shared" si="5"/>
        <v>60</v>
      </c>
      <c r="B78" s="262" t="s">
        <v>592</v>
      </c>
      <c r="C78" s="251" t="s">
        <v>593</v>
      </c>
      <c r="D78" s="257" t="s">
        <v>79</v>
      </c>
      <c r="E78" s="257">
        <v>0.023</v>
      </c>
      <c r="F78" s="273"/>
      <c r="G78" s="206">
        <f t="shared" si="3"/>
        <v>0</v>
      </c>
      <c r="H78" s="273"/>
      <c r="I78" s="207">
        <f t="shared" si="4"/>
        <v>0</v>
      </c>
      <c r="K78" s="261"/>
    </row>
    <row r="79" spans="1:11" s="216" customFormat="1" ht="24.75" customHeight="1">
      <c r="A79" s="260">
        <f t="shared" si="5"/>
        <v>61</v>
      </c>
      <c r="B79" s="262" t="s">
        <v>408</v>
      </c>
      <c r="C79" s="251" t="s">
        <v>619</v>
      </c>
      <c r="D79" s="257" t="s">
        <v>12</v>
      </c>
      <c r="E79" s="257">
        <v>4</v>
      </c>
      <c r="F79" s="273"/>
      <c r="G79" s="206">
        <f t="shared" si="3"/>
        <v>0</v>
      </c>
      <c r="H79" s="273"/>
      <c r="I79" s="207">
        <f t="shared" si="4"/>
        <v>0</v>
      </c>
      <c r="K79" s="261"/>
    </row>
    <row r="80" spans="1:11" s="216" customFormat="1" ht="24.75" customHeight="1">
      <c r="A80" s="260">
        <f t="shared" si="5"/>
        <v>62</v>
      </c>
      <c r="B80" s="262" t="s">
        <v>409</v>
      </c>
      <c r="C80" s="251" t="s">
        <v>304</v>
      </c>
      <c r="D80" s="257" t="s">
        <v>12</v>
      </c>
      <c r="E80" s="257">
        <v>4</v>
      </c>
      <c r="F80" s="273"/>
      <c r="G80" s="206">
        <f t="shared" si="3"/>
        <v>0</v>
      </c>
      <c r="H80" s="273"/>
      <c r="I80" s="207">
        <f t="shared" si="4"/>
        <v>0</v>
      </c>
      <c r="K80" s="261"/>
    </row>
    <row r="81" spans="1:11" s="216" customFormat="1" ht="24.75" customHeight="1">
      <c r="A81" s="260">
        <f t="shared" si="5"/>
        <v>63</v>
      </c>
      <c r="B81" s="262" t="s">
        <v>296</v>
      </c>
      <c r="C81" s="251" t="s">
        <v>594</v>
      </c>
      <c r="D81" s="257" t="s">
        <v>11</v>
      </c>
      <c r="E81" s="257">
        <v>40</v>
      </c>
      <c r="F81" s="273"/>
      <c r="G81" s="206">
        <f t="shared" si="3"/>
        <v>0</v>
      </c>
      <c r="H81" s="273"/>
      <c r="I81" s="207">
        <f t="shared" si="4"/>
        <v>0</v>
      </c>
      <c r="K81" s="261"/>
    </row>
    <row r="82" spans="1:11" s="216" customFormat="1" ht="24.75" customHeight="1">
      <c r="A82" s="260">
        <f t="shared" si="5"/>
        <v>64</v>
      </c>
      <c r="B82" s="262" t="s">
        <v>555</v>
      </c>
      <c r="C82" s="251" t="s">
        <v>558</v>
      </c>
      <c r="D82" s="257" t="s">
        <v>79</v>
      </c>
      <c r="E82" s="257">
        <v>0.329</v>
      </c>
      <c r="F82" s="273"/>
      <c r="G82" s="206">
        <f t="shared" si="3"/>
        <v>0</v>
      </c>
      <c r="H82" s="273"/>
      <c r="I82" s="207">
        <f t="shared" si="4"/>
        <v>0</v>
      </c>
      <c r="K82" s="261"/>
    </row>
    <row r="83" spans="1:11" s="216" customFormat="1" ht="24.75" customHeight="1">
      <c r="A83" s="260">
        <f t="shared" si="5"/>
        <v>65</v>
      </c>
      <c r="B83" s="263" t="s">
        <v>556</v>
      </c>
      <c r="C83" s="264" t="s">
        <v>559</v>
      </c>
      <c r="D83" s="265" t="s">
        <v>79</v>
      </c>
      <c r="E83" s="265">
        <v>0.457</v>
      </c>
      <c r="F83" s="278"/>
      <c r="G83" s="206">
        <f t="shared" si="3"/>
        <v>0</v>
      </c>
      <c r="H83" s="278"/>
      <c r="I83" s="207">
        <f t="shared" si="4"/>
        <v>0</v>
      </c>
      <c r="K83" s="261"/>
    </row>
    <row r="84" spans="1:13" ht="24.75" customHeight="1">
      <c r="A84" s="324" t="s">
        <v>151</v>
      </c>
      <c r="B84" s="325"/>
      <c r="C84" s="325"/>
      <c r="D84" s="325"/>
      <c r="E84" s="326"/>
      <c r="F84" s="279"/>
      <c r="G84" s="193"/>
      <c r="H84" s="279"/>
      <c r="I84" s="193"/>
      <c r="K84" s="256"/>
      <c r="L84" s="216"/>
      <c r="M84" s="214"/>
    </row>
    <row r="85" spans="1:13" ht="24.75" customHeight="1">
      <c r="A85" s="311" t="s">
        <v>152</v>
      </c>
      <c r="B85" s="312"/>
      <c r="C85" s="312"/>
      <c r="D85" s="312"/>
      <c r="E85" s="312"/>
      <c r="F85" s="312"/>
      <c r="G85" s="312"/>
      <c r="H85" s="192"/>
      <c r="I85" s="185"/>
      <c r="K85" s="215"/>
      <c r="L85" s="216"/>
      <c r="M85" s="214"/>
    </row>
    <row r="86" spans="1:11" s="216" customFormat="1" ht="24.75" customHeight="1">
      <c r="A86" s="257">
        <f>ROW()-20</f>
        <v>66</v>
      </c>
      <c r="B86" s="262" t="s">
        <v>156</v>
      </c>
      <c r="C86" s="251" t="s">
        <v>157</v>
      </c>
      <c r="D86" s="257" t="s">
        <v>11</v>
      </c>
      <c r="E86" s="257">
        <v>320</v>
      </c>
      <c r="F86" s="273"/>
      <c r="G86" s="207">
        <f>F86*E86</f>
        <v>0</v>
      </c>
      <c r="H86" s="274"/>
      <c r="I86" s="207">
        <f>H86*E86</f>
        <v>0</v>
      </c>
      <c r="K86" s="261"/>
    </row>
    <row r="87" spans="1:11" s="216" customFormat="1" ht="24.75" customHeight="1">
      <c r="A87" s="260">
        <f aca="true" t="shared" si="6" ref="A87:A94">ROW()-20</f>
        <v>67</v>
      </c>
      <c r="B87" s="262" t="s">
        <v>158</v>
      </c>
      <c r="C87" s="251" t="s">
        <v>159</v>
      </c>
      <c r="D87" s="257" t="s">
        <v>11</v>
      </c>
      <c r="E87" s="257">
        <v>481</v>
      </c>
      <c r="F87" s="273"/>
      <c r="G87" s="207">
        <f aca="true" t="shared" si="7" ref="G87:G94">F87*E87</f>
        <v>0</v>
      </c>
      <c r="H87" s="274"/>
      <c r="I87" s="207">
        <f aca="true" t="shared" si="8" ref="I87:I94">H87*E87</f>
        <v>0</v>
      </c>
      <c r="K87" s="261"/>
    </row>
    <row r="88" spans="1:11" s="216" customFormat="1" ht="24.75" customHeight="1">
      <c r="A88" s="260">
        <f t="shared" si="6"/>
        <v>68</v>
      </c>
      <c r="B88" s="262" t="s">
        <v>160</v>
      </c>
      <c r="C88" s="251" t="s">
        <v>161</v>
      </c>
      <c r="D88" s="257" t="s">
        <v>12</v>
      </c>
      <c r="E88" s="257">
        <v>19</v>
      </c>
      <c r="F88" s="273"/>
      <c r="G88" s="207">
        <f t="shared" si="7"/>
        <v>0</v>
      </c>
      <c r="H88" s="274"/>
      <c r="I88" s="207">
        <f t="shared" si="8"/>
        <v>0</v>
      </c>
      <c r="K88" s="261"/>
    </row>
    <row r="89" spans="1:11" s="216" customFormat="1" ht="24.75" customHeight="1">
      <c r="A89" s="260">
        <f t="shared" si="6"/>
        <v>69</v>
      </c>
      <c r="B89" s="262" t="s">
        <v>162</v>
      </c>
      <c r="C89" s="251" t="s">
        <v>163</v>
      </c>
      <c r="D89" s="257" t="s">
        <v>34</v>
      </c>
      <c r="E89" s="257">
        <v>1</v>
      </c>
      <c r="F89" s="273"/>
      <c r="G89" s="207">
        <f t="shared" si="7"/>
        <v>0</v>
      </c>
      <c r="H89" s="274"/>
      <c r="I89" s="207">
        <f t="shared" si="8"/>
        <v>0</v>
      </c>
      <c r="K89" s="261"/>
    </row>
    <row r="90" spans="1:11" s="216" customFormat="1" ht="24.75" customHeight="1">
      <c r="A90" s="260">
        <f t="shared" si="6"/>
        <v>70</v>
      </c>
      <c r="B90" s="262" t="s">
        <v>219</v>
      </c>
      <c r="C90" s="251" t="s">
        <v>220</v>
      </c>
      <c r="D90" s="257" t="s">
        <v>11</v>
      </c>
      <c r="E90" s="257">
        <v>60</v>
      </c>
      <c r="F90" s="273"/>
      <c r="G90" s="207">
        <f t="shared" si="7"/>
        <v>0</v>
      </c>
      <c r="H90" s="274"/>
      <c r="I90" s="207">
        <f t="shared" si="8"/>
        <v>0</v>
      </c>
      <c r="K90" s="261"/>
    </row>
    <row r="91" spans="1:11" s="216" customFormat="1" ht="24.75" customHeight="1">
      <c r="A91" s="260">
        <f t="shared" si="6"/>
        <v>71</v>
      </c>
      <c r="B91" s="262" t="s">
        <v>419</v>
      </c>
      <c r="C91" s="251" t="s">
        <v>420</v>
      </c>
      <c r="D91" s="257" t="s">
        <v>12</v>
      </c>
      <c r="E91" s="257">
        <v>1</v>
      </c>
      <c r="F91" s="273"/>
      <c r="G91" s="207">
        <f t="shared" si="7"/>
        <v>0</v>
      </c>
      <c r="H91" s="274"/>
      <c r="I91" s="207">
        <f t="shared" si="8"/>
        <v>0</v>
      </c>
      <c r="K91" s="261"/>
    </row>
    <row r="92" spans="1:11" s="216" customFormat="1" ht="24.75" customHeight="1">
      <c r="A92" s="260">
        <f t="shared" si="6"/>
        <v>72</v>
      </c>
      <c r="B92" s="262" t="s">
        <v>221</v>
      </c>
      <c r="C92" s="251" t="s">
        <v>510</v>
      </c>
      <c r="D92" s="257" t="s">
        <v>12</v>
      </c>
      <c r="E92" s="257">
        <v>2</v>
      </c>
      <c r="F92" s="273"/>
      <c r="G92" s="207">
        <f t="shared" si="7"/>
        <v>0</v>
      </c>
      <c r="H92" s="274"/>
      <c r="I92" s="207">
        <f t="shared" si="8"/>
        <v>0</v>
      </c>
      <c r="K92" s="261"/>
    </row>
    <row r="93" spans="1:11" s="216" customFormat="1" ht="34.5" customHeight="1">
      <c r="A93" s="260">
        <f t="shared" si="6"/>
        <v>73</v>
      </c>
      <c r="B93" s="262" t="s">
        <v>581</v>
      </c>
      <c r="C93" s="266" t="s">
        <v>582</v>
      </c>
      <c r="D93" s="257" t="s">
        <v>34</v>
      </c>
      <c r="E93" s="257">
        <v>6</v>
      </c>
      <c r="F93" s="273"/>
      <c r="G93" s="207">
        <f t="shared" si="7"/>
        <v>0</v>
      </c>
      <c r="H93" s="274"/>
      <c r="I93" s="207">
        <f t="shared" si="8"/>
        <v>0</v>
      </c>
      <c r="K93" s="261"/>
    </row>
    <row r="94" spans="1:11" s="216" customFormat="1" ht="34.5" customHeight="1">
      <c r="A94" s="260">
        <f t="shared" si="6"/>
        <v>74</v>
      </c>
      <c r="B94" s="262" t="s">
        <v>583</v>
      </c>
      <c r="C94" s="266" t="s">
        <v>584</v>
      </c>
      <c r="D94" s="257" t="s">
        <v>34</v>
      </c>
      <c r="E94" s="257">
        <v>2</v>
      </c>
      <c r="F94" s="273"/>
      <c r="G94" s="207">
        <f t="shared" si="7"/>
        <v>0</v>
      </c>
      <c r="H94" s="275"/>
      <c r="I94" s="207">
        <f t="shared" si="8"/>
        <v>0</v>
      </c>
      <c r="K94" s="261"/>
    </row>
    <row r="95" spans="1:13" ht="24.75" customHeight="1">
      <c r="A95" s="324" t="s">
        <v>153</v>
      </c>
      <c r="B95" s="325"/>
      <c r="C95" s="325"/>
      <c r="D95" s="325"/>
      <c r="E95" s="326"/>
      <c r="F95" s="279"/>
      <c r="G95" s="193"/>
      <c r="H95" s="279"/>
      <c r="I95" s="193"/>
      <c r="K95" s="256"/>
      <c r="L95" s="216"/>
      <c r="M95" s="214"/>
    </row>
    <row r="96" spans="1:13" ht="24.75" customHeight="1">
      <c r="A96" s="309" t="s">
        <v>154</v>
      </c>
      <c r="B96" s="310"/>
      <c r="C96" s="310"/>
      <c r="D96" s="310"/>
      <c r="E96" s="310"/>
      <c r="F96" s="310"/>
      <c r="G96" s="310"/>
      <c r="H96" s="192"/>
      <c r="I96" s="185"/>
      <c r="K96" s="215"/>
      <c r="L96" s="216"/>
      <c r="M96" s="214"/>
    </row>
    <row r="97" spans="1:11" s="216" customFormat="1" ht="24.75" customHeight="1">
      <c r="A97" s="257">
        <f>ROW()-22</f>
        <v>75</v>
      </c>
      <c r="B97" s="258" t="s">
        <v>164</v>
      </c>
      <c r="C97" s="259" t="s">
        <v>595</v>
      </c>
      <c r="D97" s="260" t="s">
        <v>11</v>
      </c>
      <c r="E97" s="260">
        <v>4301</v>
      </c>
      <c r="F97" s="276"/>
      <c r="G97" s="207">
        <f>F97*E97</f>
        <v>0</v>
      </c>
      <c r="H97" s="274"/>
      <c r="I97" s="207">
        <f>H97*E97</f>
        <v>0</v>
      </c>
      <c r="K97" s="261"/>
    </row>
    <row r="98" spans="1:11" s="216" customFormat="1" ht="33" customHeight="1">
      <c r="A98" s="260">
        <f>ROW()-22</f>
        <v>76</v>
      </c>
      <c r="B98" s="262" t="s">
        <v>596</v>
      </c>
      <c r="C98" s="266" t="s">
        <v>597</v>
      </c>
      <c r="D98" s="257" t="s">
        <v>11</v>
      </c>
      <c r="E98" s="257">
        <v>10</v>
      </c>
      <c r="F98" s="273"/>
      <c r="G98" s="207">
        <f>F98*E98</f>
        <v>0</v>
      </c>
      <c r="H98" s="274"/>
      <c r="I98" s="207">
        <f>H98*E98</f>
        <v>0</v>
      </c>
      <c r="K98" s="261"/>
    </row>
    <row r="99" spans="1:11" s="216" customFormat="1" ht="24.75" customHeight="1">
      <c r="A99" s="260">
        <f>ROW()-22</f>
        <v>77</v>
      </c>
      <c r="B99" s="262" t="s">
        <v>168</v>
      </c>
      <c r="C99" s="251" t="s">
        <v>169</v>
      </c>
      <c r="D99" s="257" t="s">
        <v>12</v>
      </c>
      <c r="E99" s="257">
        <v>1</v>
      </c>
      <c r="F99" s="273"/>
      <c r="G99" s="207">
        <f>F99*E99</f>
        <v>0</v>
      </c>
      <c r="H99" s="274"/>
      <c r="I99" s="207">
        <f>H99*E99</f>
        <v>0</v>
      </c>
      <c r="K99" s="261"/>
    </row>
    <row r="100" spans="1:11" s="216" customFormat="1" ht="24.75" customHeight="1">
      <c r="A100" s="260">
        <f>ROW()-22</f>
        <v>78</v>
      </c>
      <c r="B100" s="236" t="s">
        <v>684</v>
      </c>
      <c r="C100" s="251" t="s">
        <v>685</v>
      </c>
      <c r="D100" s="257" t="s">
        <v>12</v>
      </c>
      <c r="E100" s="257">
        <v>3</v>
      </c>
      <c r="F100" s="273"/>
      <c r="G100" s="207">
        <f>F100*E100</f>
        <v>0</v>
      </c>
      <c r="H100" s="274"/>
      <c r="I100" s="207">
        <f>H100*E100</f>
        <v>0</v>
      </c>
      <c r="K100" s="261"/>
    </row>
    <row r="101" spans="1:11" s="216" customFormat="1" ht="24.75" customHeight="1">
      <c r="A101" s="260">
        <f>ROW()-22</f>
        <v>79</v>
      </c>
      <c r="B101" s="263" t="s">
        <v>172</v>
      </c>
      <c r="C101" s="264" t="s">
        <v>173</v>
      </c>
      <c r="D101" s="265" t="s">
        <v>12</v>
      </c>
      <c r="E101" s="265">
        <v>10</v>
      </c>
      <c r="F101" s="278"/>
      <c r="G101" s="207">
        <f>F101*E101</f>
        <v>0</v>
      </c>
      <c r="H101" s="275"/>
      <c r="I101" s="207">
        <f>H101*E101</f>
        <v>0</v>
      </c>
      <c r="K101" s="261"/>
    </row>
    <row r="102" spans="1:13" ht="24.75" customHeight="1">
      <c r="A102" s="324" t="s">
        <v>487</v>
      </c>
      <c r="B102" s="325"/>
      <c r="C102" s="325"/>
      <c r="D102" s="325"/>
      <c r="E102" s="326"/>
      <c r="F102" s="288"/>
      <c r="G102" s="195"/>
      <c r="H102" s="279"/>
      <c r="I102" s="194"/>
      <c r="K102" s="256"/>
      <c r="L102" s="216"/>
      <c r="M102" s="216"/>
    </row>
    <row r="103" spans="1:13" ht="24.75" customHeight="1">
      <c r="A103" s="311" t="s">
        <v>598</v>
      </c>
      <c r="B103" s="312"/>
      <c r="C103" s="312"/>
      <c r="D103" s="312"/>
      <c r="E103" s="312"/>
      <c r="F103" s="312"/>
      <c r="G103" s="312"/>
      <c r="H103" s="192"/>
      <c r="I103" s="185"/>
      <c r="K103" s="215"/>
      <c r="L103" s="216"/>
      <c r="M103" s="216"/>
    </row>
    <row r="104" spans="1:11" s="216" customFormat="1" ht="24.75" customHeight="1">
      <c r="A104" s="257">
        <f aca="true" t="shared" si="9" ref="A104:A110">ROW()-24</f>
        <v>80</v>
      </c>
      <c r="B104" s="236" t="s">
        <v>689</v>
      </c>
      <c r="C104" s="251" t="s">
        <v>696</v>
      </c>
      <c r="D104" s="257" t="s">
        <v>9</v>
      </c>
      <c r="E104" s="257">
        <v>1</v>
      </c>
      <c r="F104" s="273"/>
      <c r="G104" s="207">
        <f>F104*E104</f>
        <v>0</v>
      </c>
      <c r="H104" s="274"/>
      <c r="I104" s="207">
        <f>H104*E104</f>
        <v>0</v>
      </c>
      <c r="K104" s="261"/>
    </row>
    <row r="105" spans="1:11" s="216" customFormat="1" ht="24.75" customHeight="1">
      <c r="A105" s="260">
        <f t="shared" si="9"/>
        <v>81</v>
      </c>
      <c r="B105" s="236" t="s">
        <v>690</v>
      </c>
      <c r="C105" s="251" t="s">
        <v>693</v>
      </c>
      <c r="D105" s="257" t="s">
        <v>9</v>
      </c>
      <c r="E105" s="257">
        <v>1</v>
      </c>
      <c r="F105" s="273"/>
      <c r="G105" s="207">
        <f aca="true" t="shared" si="10" ref="G105:G130">F105*E105</f>
        <v>0</v>
      </c>
      <c r="H105" s="274"/>
      <c r="I105" s="207">
        <f aca="true" t="shared" si="11" ref="I105:I130">H105*E105</f>
        <v>0</v>
      </c>
      <c r="K105" s="261"/>
    </row>
    <row r="106" spans="1:11" s="216" customFormat="1" ht="24.75" customHeight="1">
      <c r="A106" s="260">
        <f t="shared" si="9"/>
        <v>82</v>
      </c>
      <c r="B106" s="236" t="s">
        <v>691</v>
      </c>
      <c r="C106" s="251" t="s">
        <v>694</v>
      </c>
      <c r="D106" s="257" t="s">
        <v>9</v>
      </c>
      <c r="E106" s="257">
        <v>1</v>
      </c>
      <c r="F106" s="273"/>
      <c r="G106" s="207">
        <f t="shared" si="10"/>
        <v>0</v>
      </c>
      <c r="H106" s="274"/>
      <c r="I106" s="207">
        <f t="shared" si="11"/>
        <v>0</v>
      </c>
      <c r="K106" s="261"/>
    </row>
    <row r="107" spans="1:11" s="216" customFormat="1" ht="24.75" customHeight="1">
      <c r="A107" s="260">
        <f t="shared" si="9"/>
        <v>83</v>
      </c>
      <c r="B107" s="236" t="s">
        <v>692</v>
      </c>
      <c r="C107" s="251" t="s">
        <v>695</v>
      </c>
      <c r="D107" s="257" t="s">
        <v>9</v>
      </c>
      <c r="E107" s="257">
        <v>1</v>
      </c>
      <c r="F107" s="273"/>
      <c r="G107" s="207">
        <f t="shared" si="10"/>
        <v>0</v>
      </c>
      <c r="H107" s="274"/>
      <c r="I107" s="207">
        <f t="shared" si="11"/>
        <v>0</v>
      </c>
      <c r="K107" s="261"/>
    </row>
    <row r="108" spans="1:11" s="216" customFormat="1" ht="24.75" customHeight="1">
      <c r="A108" s="260">
        <f t="shared" si="9"/>
        <v>84</v>
      </c>
      <c r="B108" s="236" t="s">
        <v>627</v>
      </c>
      <c r="C108" s="251" t="s">
        <v>625</v>
      </c>
      <c r="D108" s="257" t="s">
        <v>12</v>
      </c>
      <c r="E108" s="257">
        <v>2</v>
      </c>
      <c r="F108" s="273"/>
      <c r="G108" s="207">
        <f t="shared" si="10"/>
        <v>0</v>
      </c>
      <c r="H108" s="274"/>
      <c r="I108" s="207">
        <f t="shared" si="11"/>
        <v>0</v>
      </c>
      <c r="K108" s="261"/>
    </row>
    <row r="109" spans="1:11" s="216" customFormat="1" ht="24.75" customHeight="1">
      <c r="A109" s="260">
        <f t="shared" si="9"/>
        <v>85</v>
      </c>
      <c r="B109" s="236" t="s">
        <v>628</v>
      </c>
      <c r="C109" s="251" t="s">
        <v>626</v>
      </c>
      <c r="D109" s="257" t="s">
        <v>12</v>
      </c>
      <c r="E109" s="257">
        <v>1</v>
      </c>
      <c r="F109" s="273"/>
      <c r="G109" s="207">
        <f t="shared" si="10"/>
        <v>0</v>
      </c>
      <c r="H109" s="274"/>
      <c r="I109" s="207">
        <f t="shared" si="11"/>
        <v>0</v>
      </c>
      <c r="K109" s="261"/>
    </row>
    <row r="110" spans="1:11" s="216" customFormat="1" ht="24.75" customHeight="1">
      <c r="A110" s="260">
        <f t="shared" si="9"/>
        <v>86</v>
      </c>
      <c r="B110" s="236" t="s">
        <v>629</v>
      </c>
      <c r="C110" s="251" t="s">
        <v>649</v>
      </c>
      <c r="D110" s="257" t="s">
        <v>11</v>
      </c>
      <c r="E110" s="257">
        <v>55</v>
      </c>
      <c r="F110" s="273"/>
      <c r="G110" s="207">
        <f t="shared" si="10"/>
        <v>0</v>
      </c>
      <c r="H110" s="274"/>
      <c r="I110" s="207">
        <f t="shared" si="11"/>
        <v>0</v>
      </c>
      <c r="K110" s="261"/>
    </row>
    <row r="111" spans="1:11" s="216" customFormat="1" ht="24.75" customHeight="1">
      <c r="A111" s="260">
        <f aca="true" t="shared" si="12" ref="A111:A130">ROW()-24</f>
        <v>87</v>
      </c>
      <c r="B111" s="236" t="s">
        <v>630</v>
      </c>
      <c r="C111" s="251" t="s">
        <v>650</v>
      </c>
      <c r="D111" s="257" t="s">
        <v>11</v>
      </c>
      <c r="E111" s="257">
        <v>197</v>
      </c>
      <c r="F111" s="273"/>
      <c r="G111" s="207">
        <f t="shared" si="10"/>
        <v>0</v>
      </c>
      <c r="H111" s="274"/>
      <c r="I111" s="207">
        <f t="shared" si="11"/>
        <v>0</v>
      </c>
      <c r="K111" s="261"/>
    </row>
    <row r="112" spans="1:11" s="216" customFormat="1" ht="24.75" customHeight="1">
      <c r="A112" s="260">
        <f t="shared" si="12"/>
        <v>88</v>
      </c>
      <c r="B112" s="236" t="s">
        <v>631</v>
      </c>
      <c r="C112" s="251" t="s">
        <v>651</v>
      </c>
      <c r="D112" s="257" t="s">
        <v>11</v>
      </c>
      <c r="E112" s="257">
        <v>124</v>
      </c>
      <c r="F112" s="273"/>
      <c r="G112" s="207">
        <f t="shared" si="10"/>
        <v>0</v>
      </c>
      <c r="H112" s="274"/>
      <c r="I112" s="207">
        <f t="shared" si="11"/>
        <v>0</v>
      </c>
      <c r="K112" s="261"/>
    </row>
    <row r="113" spans="1:11" s="216" customFormat="1" ht="24.75" customHeight="1">
      <c r="A113" s="260">
        <f t="shared" si="12"/>
        <v>89</v>
      </c>
      <c r="B113" s="236" t="s">
        <v>686</v>
      </c>
      <c r="C113" s="251" t="s">
        <v>687</v>
      </c>
      <c r="D113" s="257" t="s">
        <v>11</v>
      </c>
      <c r="E113" s="257">
        <v>100</v>
      </c>
      <c r="F113" s="273"/>
      <c r="G113" s="207">
        <f t="shared" si="10"/>
        <v>0</v>
      </c>
      <c r="H113" s="274"/>
      <c r="I113" s="207">
        <f t="shared" si="11"/>
        <v>0</v>
      </c>
      <c r="K113" s="261"/>
    </row>
    <row r="114" spans="1:11" s="216" customFormat="1" ht="24.75" customHeight="1">
      <c r="A114" s="260">
        <f t="shared" si="12"/>
        <v>90</v>
      </c>
      <c r="B114" s="236" t="s">
        <v>632</v>
      </c>
      <c r="C114" s="251" t="s">
        <v>652</v>
      </c>
      <c r="D114" s="257" t="s">
        <v>11</v>
      </c>
      <c r="E114" s="257">
        <v>270</v>
      </c>
      <c r="F114" s="273"/>
      <c r="G114" s="207">
        <f t="shared" si="10"/>
        <v>0</v>
      </c>
      <c r="H114" s="274"/>
      <c r="I114" s="207">
        <f t="shared" si="11"/>
        <v>0</v>
      </c>
      <c r="K114" s="261"/>
    </row>
    <row r="115" spans="1:11" s="216" customFormat="1" ht="24.75" customHeight="1">
      <c r="A115" s="260">
        <f t="shared" si="12"/>
        <v>91</v>
      </c>
      <c r="B115" s="236" t="s">
        <v>633</v>
      </c>
      <c r="C115" s="251" t="s">
        <v>653</v>
      </c>
      <c r="D115" s="257" t="s">
        <v>11</v>
      </c>
      <c r="E115" s="257">
        <v>108</v>
      </c>
      <c r="F115" s="273"/>
      <c r="G115" s="207">
        <f t="shared" si="10"/>
        <v>0</v>
      </c>
      <c r="H115" s="274"/>
      <c r="I115" s="207">
        <f t="shared" si="11"/>
        <v>0</v>
      </c>
      <c r="K115" s="261"/>
    </row>
    <row r="116" spans="1:11" s="216" customFormat="1" ht="24.75" customHeight="1">
      <c r="A116" s="299">
        <f t="shared" si="12"/>
        <v>92</v>
      </c>
      <c r="B116" s="300" t="s">
        <v>634</v>
      </c>
      <c r="C116" s="301" t="s">
        <v>654</v>
      </c>
      <c r="D116" s="302" t="s">
        <v>12</v>
      </c>
      <c r="E116" s="302">
        <v>0</v>
      </c>
      <c r="F116" s="303"/>
      <c r="G116" s="304">
        <f t="shared" si="10"/>
        <v>0</v>
      </c>
      <c r="H116" s="305"/>
      <c r="I116" s="304">
        <f t="shared" si="11"/>
        <v>0</v>
      </c>
      <c r="J116" s="289" t="s">
        <v>715</v>
      </c>
      <c r="K116" s="261"/>
    </row>
    <row r="117" spans="1:11" s="216" customFormat="1" ht="24.75" customHeight="1">
      <c r="A117" s="260">
        <f t="shared" si="12"/>
        <v>93</v>
      </c>
      <c r="B117" s="236" t="s">
        <v>635</v>
      </c>
      <c r="C117" s="251" t="s">
        <v>655</v>
      </c>
      <c r="D117" s="257" t="s">
        <v>12</v>
      </c>
      <c r="E117" s="257">
        <v>1</v>
      </c>
      <c r="F117" s="273"/>
      <c r="G117" s="207">
        <f t="shared" si="10"/>
        <v>0</v>
      </c>
      <c r="H117" s="274"/>
      <c r="I117" s="207">
        <f t="shared" si="11"/>
        <v>0</v>
      </c>
      <c r="K117" s="261"/>
    </row>
    <row r="118" spans="1:11" s="216" customFormat="1" ht="24.75" customHeight="1">
      <c r="A118" s="260">
        <f t="shared" si="12"/>
        <v>94</v>
      </c>
      <c r="B118" s="236" t="s">
        <v>636</v>
      </c>
      <c r="C118" s="251" t="s">
        <v>656</v>
      </c>
      <c r="D118" s="257" t="s">
        <v>12</v>
      </c>
      <c r="E118" s="257">
        <v>11</v>
      </c>
      <c r="F118" s="273"/>
      <c r="G118" s="207">
        <f t="shared" si="10"/>
        <v>0</v>
      </c>
      <c r="H118" s="274"/>
      <c r="I118" s="207">
        <f t="shared" si="11"/>
        <v>0</v>
      </c>
      <c r="K118" s="261"/>
    </row>
    <row r="119" spans="1:11" s="216" customFormat="1" ht="24.75" customHeight="1">
      <c r="A119" s="260">
        <f t="shared" si="12"/>
        <v>95</v>
      </c>
      <c r="B119" s="236" t="s">
        <v>637</v>
      </c>
      <c r="C119" s="251" t="s">
        <v>657</v>
      </c>
      <c r="D119" s="257" t="s">
        <v>12</v>
      </c>
      <c r="E119" s="257">
        <v>1</v>
      </c>
      <c r="F119" s="273"/>
      <c r="G119" s="207">
        <f t="shared" si="10"/>
        <v>0</v>
      </c>
      <c r="H119" s="274"/>
      <c r="I119" s="207">
        <f t="shared" si="11"/>
        <v>0</v>
      </c>
      <c r="K119" s="261"/>
    </row>
    <row r="120" spans="1:11" s="216" customFormat="1" ht="24.75" customHeight="1">
      <c r="A120" s="260">
        <f t="shared" si="12"/>
        <v>96</v>
      </c>
      <c r="B120" s="236" t="s">
        <v>638</v>
      </c>
      <c r="C120" s="251" t="s">
        <v>658</v>
      </c>
      <c r="D120" s="257" t="s">
        <v>12</v>
      </c>
      <c r="E120" s="257">
        <v>1</v>
      </c>
      <c r="F120" s="273"/>
      <c r="G120" s="207">
        <f t="shared" si="10"/>
        <v>0</v>
      </c>
      <c r="H120" s="274"/>
      <c r="I120" s="207">
        <f t="shared" si="11"/>
        <v>0</v>
      </c>
      <c r="K120" s="261"/>
    </row>
    <row r="121" spans="1:11" s="216" customFormat="1" ht="24.75" customHeight="1">
      <c r="A121" s="260">
        <f t="shared" si="12"/>
        <v>97</v>
      </c>
      <c r="B121" s="236" t="s">
        <v>639</v>
      </c>
      <c r="C121" s="251" t="s">
        <v>659</v>
      </c>
      <c r="D121" s="257" t="s">
        <v>12</v>
      </c>
      <c r="E121" s="257">
        <v>1</v>
      </c>
      <c r="F121" s="273"/>
      <c r="G121" s="207">
        <f t="shared" si="10"/>
        <v>0</v>
      </c>
      <c r="H121" s="274"/>
      <c r="I121" s="207">
        <f t="shared" si="11"/>
        <v>0</v>
      </c>
      <c r="K121" s="261"/>
    </row>
    <row r="122" spans="1:11" s="216" customFormat="1" ht="24.75" customHeight="1">
      <c r="A122" s="260">
        <f t="shared" si="12"/>
        <v>98</v>
      </c>
      <c r="B122" s="236" t="s">
        <v>640</v>
      </c>
      <c r="C122" s="251" t="s">
        <v>660</v>
      </c>
      <c r="D122" s="257" t="s">
        <v>12</v>
      </c>
      <c r="E122" s="257">
        <v>1</v>
      </c>
      <c r="F122" s="273"/>
      <c r="G122" s="207">
        <f t="shared" si="10"/>
        <v>0</v>
      </c>
      <c r="H122" s="274"/>
      <c r="I122" s="207">
        <f t="shared" si="11"/>
        <v>0</v>
      </c>
      <c r="K122" s="261"/>
    </row>
    <row r="123" spans="1:11" s="216" customFormat="1" ht="24.75" customHeight="1">
      <c r="A123" s="260">
        <f t="shared" si="12"/>
        <v>99</v>
      </c>
      <c r="B123" s="236" t="s">
        <v>641</v>
      </c>
      <c r="C123" s="251" t="s">
        <v>661</v>
      </c>
      <c r="D123" s="257" t="s">
        <v>12</v>
      </c>
      <c r="E123" s="257">
        <v>1</v>
      </c>
      <c r="F123" s="273"/>
      <c r="G123" s="207">
        <f t="shared" si="10"/>
        <v>0</v>
      </c>
      <c r="H123" s="274"/>
      <c r="I123" s="207">
        <f t="shared" si="11"/>
        <v>0</v>
      </c>
      <c r="K123" s="261"/>
    </row>
    <row r="124" spans="1:11" s="216" customFormat="1" ht="24.75" customHeight="1">
      <c r="A124" s="260">
        <f t="shared" si="12"/>
        <v>100</v>
      </c>
      <c r="B124" s="236" t="s">
        <v>642</v>
      </c>
      <c r="C124" s="251" t="s">
        <v>662</v>
      </c>
      <c r="D124" s="257" t="s">
        <v>11</v>
      </c>
      <c r="E124" s="257">
        <v>62</v>
      </c>
      <c r="F124" s="273"/>
      <c r="G124" s="207">
        <f t="shared" si="10"/>
        <v>0</v>
      </c>
      <c r="H124" s="274"/>
      <c r="I124" s="207">
        <f t="shared" si="11"/>
        <v>0</v>
      </c>
      <c r="K124" s="261"/>
    </row>
    <row r="125" spans="1:11" s="216" customFormat="1" ht="24.75" customHeight="1">
      <c r="A125" s="260">
        <f t="shared" si="12"/>
        <v>101</v>
      </c>
      <c r="B125" s="236" t="s">
        <v>643</v>
      </c>
      <c r="C125" s="251" t="s">
        <v>663</v>
      </c>
      <c r="D125" s="257" t="s">
        <v>12</v>
      </c>
      <c r="E125" s="257">
        <v>1</v>
      </c>
      <c r="F125" s="273"/>
      <c r="G125" s="207">
        <f t="shared" si="10"/>
        <v>0</v>
      </c>
      <c r="H125" s="274"/>
      <c r="I125" s="207">
        <f t="shared" si="11"/>
        <v>0</v>
      </c>
      <c r="K125" s="261"/>
    </row>
    <row r="126" spans="1:11" s="216" customFormat="1" ht="24.75" customHeight="1">
      <c r="A126" s="260">
        <f t="shared" si="12"/>
        <v>102</v>
      </c>
      <c r="B126" s="236" t="s">
        <v>645</v>
      </c>
      <c r="C126" s="251" t="s">
        <v>665</v>
      </c>
      <c r="D126" s="257" t="s">
        <v>12</v>
      </c>
      <c r="E126" s="257">
        <v>1</v>
      </c>
      <c r="F126" s="273"/>
      <c r="G126" s="207">
        <f t="shared" si="10"/>
        <v>0</v>
      </c>
      <c r="H126" s="274"/>
      <c r="I126" s="207">
        <f t="shared" si="11"/>
        <v>0</v>
      </c>
      <c r="K126" s="261"/>
    </row>
    <row r="127" spans="1:11" s="216" customFormat="1" ht="24.75" customHeight="1">
      <c r="A127" s="260">
        <f t="shared" si="12"/>
        <v>103</v>
      </c>
      <c r="B127" s="236" t="s">
        <v>644</v>
      </c>
      <c r="C127" s="251" t="s">
        <v>664</v>
      </c>
      <c r="D127" s="257" t="s">
        <v>12</v>
      </c>
      <c r="E127" s="257">
        <v>1</v>
      </c>
      <c r="F127" s="273"/>
      <c r="G127" s="207">
        <f t="shared" si="10"/>
        <v>0</v>
      </c>
      <c r="H127" s="274"/>
      <c r="I127" s="207">
        <f t="shared" si="11"/>
        <v>0</v>
      </c>
      <c r="K127" s="261"/>
    </row>
    <row r="128" spans="1:11" s="216" customFormat="1" ht="24.75" customHeight="1">
      <c r="A128" s="260">
        <f t="shared" si="12"/>
        <v>104</v>
      </c>
      <c r="B128" s="236" t="s">
        <v>646</v>
      </c>
      <c r="C128" s="251" t="s">
        <v>600</v>
      </c>
      <c r="D128" s="257" t="s">
        <v>12</v>
      </c>
      <c r="E128" s="257">
        <v>2</v>
      </c>
      <c r="F128" s="273"/>
      <c r="G128" s="207">
        <f t="shared" si="10"/>
        <v>0</v>
      </c>
      <c r="H128" s="274"/>
      <c r="I128" s="207">
        <f t="shared" si="11"/>
        <v>0</v>
      </c>
      <c r="K128" s="261"/>
    </row>
    <row r="129" spans="1:11" s="216" customFormat="1" ht="24.75" customHeight="1">
      <c r="A129" s="260">
        <f t="shared" si="12"/>
        <v>105</v>
      </c>
      <c r="B129" s="236" t="s">
        <v>647</v>
      </c>
      <c r="C129" s="251" t="s">
        <v>666</v>
      </c>
      <c r="D129" s="257" t="s">
        <v>12</v>
      </c>
      <c r="E129" s="257">
        <v>1</v>
      </c>
      <c r="F129" s="273"/>
      <c r="G129" s="207">
        <f t="shared" si="10"/>
        <v>0</v>
      </c>
      <c r="H129" s="274"/>
      <c r="I129" s="207">
        <f t="shared" si="11"/>
        <v>0</v>
      </c>
      <c r="K129" s="261"/>
    </row>
    <row r="130" spans="1:11" s="216" customFormat="1" ht="24.75" customHeight="1">
      <c r="A130" s="260">
        <f t="shared" si="12"/>
        <v>106</v>
      </c>
      <c r="B130" s="236" t="s">
        <v>648</v>
      </c>
      <c r="C130" s="251" t="s">
        <v>667</v>
      </c>
      <c r="D130" s="257" t="s">
        <v>12</v>
      </c>
      <c r="E130" s="257">
        <v>1</v>
      </c>
      <c r="F130" s="273"/>
      <c r="G130" s="207">
        <f t="shared" si="10"/>
        <v>0</v>
      </c>
      <c r="H130" s="275"/>
      <c r="I130" s="207">
        <f t="shared" si="11"/>
        <v>0</v>
      </c>
      <c r="K130" s="261"/>
    </row>
    <row r="131" spans="1:13" ht="24.75" customHeight="1">
      <c r="A131" s="314" t="s">
        <v>599</v>
      </c>
      <c r="B131" s="315"/>
      <c r="C131" s="315"/>
      <c r="D131" s="315"/>
      <c r="E131" s="316"/>
      <c r="F131" s="280"/>
      <c r="G131" s="282"/>
      <c r="H131" s="208"/>
      <c r="I131" s="285"/>
      <c r="K131" s="256"/>
      <c r="L131" s="216"/>
      <c r="M131" s="214"/>
    </row>
    <row r="132" spans="1:13" ht="24.75" customHeight="1">
      <c r="A132" s="314" t="s">
        <v>707</v>
      </c>
      <c r="B132" s="315"/>
      <c r="C132" s="315"/>
      <c r="D132" s="315"/>
      <c r="E132" s="315"/>
      <c r="F132" s="280"/>
      <c r="G132" s="283"/>
      <c r="H132" s="208"/>
      <c r="I132" s="286"/>
      <c r="K132" s="256"/>
      <c r="L132" s="216"/>
      <c r="M132" s="214"/>
    </row>
    <row r="133" spans="1:13" ht="24.75" customHeight="1">
      <c r="A133" s="309" t="s">
        <v>43</v>
      </c>
      <c r="B133" s="310"/>
      <c r="C133" s="310"/>
      <c r="D133" s="310"/>
      <c r="E133" s="310"/>
      <c r="F133" s="310"/>
      <c r="G133" s="310"/>
      <c r="H133" s="209"/>
      <c r="I133" s="185"/>
      <c r="K133" s="215"/>
      <c r="L133" s="216"/>
      <c r="M133" s="214"/>
    </row>
    <row r="134" spans="1:11" s="216" customFormat="1" ht="24.75" customHeight="1">
      <c r="A134" s="267">
        <v>107</v>
      </c>
      <c r="B134" s="268"/>
      <c r="C134" s="269" t="s">
        <v>704</v>
      </c>
      <c r="D134" s="270"/>
      <c r="E134" s="271">
        <v>0.1</v>
      </c>
      <c r="F134" s="281"/>
      <c r="G134" s="284"/>
      <c r="H134" s="210"/>
      <c r="I134" s="287"/>
      <c r="K134" s="261"/>
    </row>
    <row r="135" spans="1:13" ht="24.75" customHeight="1">
      <c r="A135" s="314" t="s">
        <v>708</v>
      </c>
      <c r="B135" s="315"/>
      <c r="C135" s="315"/>
      <c r="D135" s="315"/>
      <c r="E135" s="316"/>
      <c r="F135" s="280"/>
      <c r="G135" s="285"/>
      <c r="H135" s="208"/>
      <c r="I135" s="285"/>
      <c r="K135" s="272"/>
      <c r="L135" s="216"/>
      <c r="M135" s="214"/>
    </row>
    <row r="136" spans="1:9" ht="19.5" customHeight="1">
      <c r="A136" s="196"/>
      <c r="B136" s="196"/>
      <c r="C136" s="197"/>
      <c r="D136" s="197"/>
      <c r="E136" s="198"/>
      <c r="F136" s="197"/>
      <c r="G136" s="199" t="s">
        <v>0</v>
      </c>
      <c r="H136" s="197"/>
      <c r="I136" s="199" t="s">
        <v>0</v>
      </c>
    </row>
    <row r="137" ht="19.5" customHeight="1">
      <c r="C137" s="182"/>
    </row>
    <row r="138" spans="1:9" ht="19.5" customHeight="1">
      <c r="A138" s="306" t="s">
        <v>702</v>
      </c>
      <c r="B138" s="306"/>
      <c r="C138" s="306"/>
      <c r="E138" s="177"/>
      <c r="G138" s="182"/>
      <c r="I138" s="182"/>
    </row>
    <row r="139" spans="1:11" ht="19.5" customHeight="1">
      <c r="A139" s="175"/>
      <c r="B139" s="175"/>
      <c r="C139" s="175"/>
      <c r="D139" s="175"/>
      <c r="E139" s="175"/>
      <c r="F139" s="175"/>
      <c r="G139" s="182"/>
      <c r="H139" s="175"/>
      <c r="I139" s="182"/>
      <c r="J139" s="179"/>
      <c r="K139" s="179"/>
    </row>
    <row r="140" spans="1:9" ht="19.5" customHeight="1">
      <c r="A140" s="175"/>
      <c r="B140" s="175"/>
      <c r="C140" s="175"/>
      <c r="D140" s="175"/>
      <c r="E140" s="175"/>
      <c r="F140" s="175"/>
      <c r="G140" s="182"/>
      <c r="H140" s="175"/>
      <c r="I140" s="182"/>
    </row>
    <row r="141" spans="1:8" ht="19.5" customHeight="1">
      <c r="A141" s="307" t="s">
        <v>703</v>
      </c>
      <c r="B141" s="307"/>
      <c r="C141" s="307"/>
      <c r="D141" s="182"/>
      <c r="E141" s="182"/>
      <c r="F141" s="182"/>
      <c r="H141" s="182"/>
    </row>
    <row r="142" spans="1:8" ht="19.5" customHeight="1">
      <c r="A142" s="182"/>
      <c r="B142" s="182"/>
      <c r="C142" s="182"/>
      <c r="D142" s="182"/>
      <c r="E142" s="182"/>
      <c r="F142" s="182"/>
      <c r="H142" s="182"/>
    </row>
    <row r="143" spans="1:8" ht="19.5" customHeight="1">
      <c r="A143" s="182"/>
      <c r="B143" s="182"/>
      <c r="C143" s="182"/>
      <c r="D143" s="182"/>
      <c r="E143" s="182"/>
      <c r="F143" s="182"/>
      <c r="H143" s="182"/>
    </row>
    <row r="144" spans="1:8" ht="19.5" customHeight="1">
      <c r="A144" s="182"/>
      <c r="B144" s="182"/>
      <c r="C144" s="182"/>
      <c r="D144" s="182"/>
      <c r="E144" s="182"/>
      <c r="F144" s="182"/>
      <c r="H144" s="182"/>
    </row>
    <row r="145" spans="1:8" ht="19.5" customHeight="1">
      <c r="A145" s="182"/>
      <c r="B145" s="182"/>
      <c r="C145" s="182"/>
      <c r="D145" s="182"/>
      <c r="E145" s="182"/>
      <c r="F145" s="182"/>
      <c r="H145" s="182"/>
    </row>
    <row r="146" spans="1:8" ht="19.5" customHeight="1">
      <c r="A146" s="182"/>
      <c r="B146" s="182"/>
      <c r="C146" s="182"/>
      <c r="D146" s="182"/>
      <c r="E146" s="182"/>
      <c r="F146" s="182"/>
      <c r="H146" s="182"/>
    </row>
    <row r="147" spans="1:8" ht="19.5" customHeight="1">
      <c r="A147" s="182"/>
      <c r="B147" s="182"/>
      <c r="C147" s="182"/>
      <c r="D147" s="182"/>
      <c r="E147" s="182"/>
      <c r="F147" s="182"/>
      <c r="H147" s="182"/>
    </row>
    <row r="148" spans="1:8" ht="19.5" customHeight="1">
      <c r="A148" s="183"/>
      <c r="B148" s="183"/>
      <c r="C148" s="183"/>
      <c r="D148" s="183"/>
      <c r="E148" s="183"/>
      <c r="F148" s="183"/>
      <c r="H148" s="183"/>
    </row>
    <row r="149" spans="1:8" ht="19.5" customHeight="1">
      <c r="A149" s="182"/>
      <c r="B149" s="182"/>
      <c r="C149" s="182"/>
      <c r="D149" s="182"/>
      <c r="E149" s="182"/>
      <c r="F149" s="182"/>
      <c r="H149" s="182"/>
    </row>
    <row r="150" spans="1:8" ht="19.5" customHeight="1">
      <c r="A150" s="182"/>
      <c r="B150" s="182"/>
      <c r="C150" s="182"/>
      <c r="D150" s="182"/>
      <c r="E150" s="182"/>
      <c r="F150" s="182"/>
      <c r="H150" s="182"/>
    </row>
    <row r="151" spans="1:8" ht="19.5" customHeight="1">
      <c r="A151" s="182"/>
      <c r="B151" s="182"/>
      <c r="C151" s="182"/>
      <c r="D151" s="182"/>
      <c r="E151" s="182"/>
      <c r="F151" s="182"/>
      <c r="H151" s="182"/>
    </row>
    <row r="152" spans="1:8" ht="19.5" customHeight="1">
      <c r="A152" s="182"/>
      <c r="B152" s="182"/>
      <c r="F152" s="184"/>
      <c r="H152" s="184"/>
    </row>
    <row r="153" spans="1:8" ht="19.5" customHeight="1">
      <c r="A153" s="182"/>
      <c r="B153" s="182"/>
      <c r="F153" s="184"/>
      <c r="H153" s="184"/>
    </row>
    <row r="154" spans="1:8" ht="19.5" customHeight="1">
      <c r="A154" s="182"/>
      <c r="B154" s="182"/>
      <c r="F154" s="184"/>
      <c r="H154" s="184"/>
    </row>
    <row r="155" spans="1:8" ht="19.5" customHeight="1">
      <c r="A155" s="182"/>
      <c r="B155" s="182"/>
      <c r="F155" s="184"/>
      <c r="H155" s="184"/>
    </row>
    <row r="156" spans="1:8" ht="19.5" customHeight="1">
      <c r="A156" s="182"/>
      <c r="B156" s="182"/>
      <c r="F156" s="184"/>
      <c r="H156" s="184"/>
    </row>
    <row r="157" spans="1:8" ht="19.5" customHeight="1">
      <c r="A157" s="182"/>
      <c r="B157" s="182"/>
      <c r="F157" s="184"/>
      <c r="H157" s="184"/>
    </row>
    <row r="158" spans="1:8" ht="15.75">
      <c r="A158" s="182"/>
      <c r="B158" s="182"/>
      <c r="F158" s="184"/>
      <c r="H158" s="184"/>
    </row>
    <row r="159" spans="1:8" ht="15.75">
      <c r="A159" s="182"/>
      <c r="B159" s="182"/>
      <c r="F159" s="184"/>
      <c r="H159" s="184"/>
    </row>
    <row r="160" spans="1:8" ht="15.75">
      <c r="A160" s="182"/>
      <c r="B160" s="182"/>
      <c r="F160" s="184"/>
      <c r="H160" s="184"/>
    </row>
    <row r="161" spans="1:8" ht="15.75">
      <c r="A161" s="182"/>
      <c r="B161" s="182"/>
      <c r="F161" s="184"/>
      <c r="H161" s="184"/>
    </row>
    <row r="162" spans="1:2" ht="15.75">
      <c r="A162" s="182"/>
      <c r="B162" s="182"/>
    </row>
    <row r="163" spans="1:2" ht="15.75">
      <c r="A163" s="182"/>
      <c r="B163" s="182"/>
    </row>
    <row r="164" spans="1:2" ht="15.75">
      <c r="A164" s="182"/>
      <c r="B164" s="182"/>
    </row>
    <row r="165" spans="1:2" ht="15.75">
      <c r="A165" s="182"/>
      <c r="B165" s="182"/>
    </row>
    <row r="166" spans="1:2" ht="15.75">
      <c r="A166" s="182"/>
      <c r="B166" s="182"/>
    </row>
    <row r="167" spans="1:2" ht="15.75">
      <c r="A167" s="182"/>
      <c r="B167" s="182"/>
    </row>
    <row r="168" spans="1:2" ht="15.75">
      <c r="A168" s="182"/>
      <c r="B168" s="182"/>
    </row>
    <row r="169" spans="1:2" ht="15.75">
      <c r="A169" s="182"/>
      <c r="B169" s="182"/>
    </row>
    <row r="170" spans="1:2" ht="15.75">
      <c r="A170" s="182"/>
      <c r="B170" s="182"/>
    </row>
    <row r="171" spans="1:2" ht="15.75">
      <c r="A171" s="182"/>
      <c r="B171" s="182"/>
    </row>
    <row r="172" spans="1:2" ht="15.75">
      <c r="A172" s="182"/>
      <c r="B172" s="182"/>
    </row>
    <row r="173" spans="1:2" ht="15.75">
      <c r="A173" s="182"/>
      <c r="B173" s="182"/>
    </row>
    <row r="174" spans="1:2" ht="15.75">
      <c r="A174" s="182"/>
      <c r="B174" s="182"/>
    </row>
    <row r="175" spans="1:2" ht="15.75">
      <c r="A175" s="182"/>
      <c r="B175" s="182"/>
    </row>
    <row r="176" spans="1:2" ht="15.75">
      <c r="A176" s="182"/>
      <c r="B176" s="182"/>
    </row>
    <row r="177" spans="1:2" ht="15.75">
      <c r="A177" s="182"/>
      <c r="B177" s="182"/>
    </row>
    <row r="178" spans="1:2" ht="15.75">
      <c r="A178" s="182"/>
      <c r="B178" s="182"/>
    </row>
    <row r="179" spans="1:2" ht="15.75">
      <c r="A179" s="182"/>
      <c r="B179" s="182"/>
    </row>
    <row r="180" spans="1:2" ht="15.75">
      <c r="A180" s="182"/>
      <c r="B180" s="182"/>
    </row>
    <row r="181" spans="1:2" ht="15.75">
      <c r="A181" s="182"/>
      <c r="B181" s="182"/>
    </row>
    <row r="182" spans="1:2" ht="15.75">
      <c r="A182" s="182"/>
      <c r="B182" s="182"/>
    </row>
    <row r="183" spans="1:2" ht="15.75">
      <c r="A183" s="182"/>
      <c r="B183" s="182"/>
    </row>
    <row r="184" spans="1:2" ht="15.75">
      <c r="A184" s="182"/>
      <c r="B184" s="182"/>
    </row>
    <row r="185" spans="1:2" ht="15.75">
      <c r="A185" s="182"/>
      <c r="B185" s="182"/>
    </row>
    <row r="186" spans="1:2" ht="15.75">
      <c r="A186" s="182"/>
      <c r="B186" s="182"/>
    </row>
    <row r="187" spans="1:2" ht="15.75">
      <c r="A187" s="182"/>
      <c r="B187" s="182"/>
    </row>
    <row r="188" spans="1:2" ht="15.75">
      <c r="A188" s="182"/>
      <c r="B188" s="182"/>
    </row>
    <row r="189" spans="1:2" ht="15.75">
      <c r="A189" s="182"/>
      <c r="B189" s="182"/>
    </row>
    <row r="190" spans="1:2" ht="15.75">
      <c r="A190" s="183"/>
      <c r="B190" s="183"/>
    </row>
    <row r="191" spans="1:2" ht="15.75">
      <c r="A191" s="182"/>
      <c r="B191" s="182"/>
    </row>
    <row r="192" spans="1:2" ht="15.75">
      <c r="A192" s="182"/>
      <c r="B192" s="182"/>
    </row>
    <row r="193" spans="1:2" ht="15.75">
      <c r="A193" s="182"/>
      <c r="B193" s="182"/>
    </row>
    <row r="194" spans="1:2" ht="15.75">
      <c r="A194" s="182"/>
      <c r="B194" s="182"/>
    </row>
    <row r="195" spans="1:2" ht="15.75">
      <c r="A195" s="182"/>
      <c r="B195" s="182"/>
    </row>
    <row r="196" spans="1:2" ht="15.75">
      <c r="A196" s="182"/>
      <c r="B196" s="182"/>
    </row>
    <row r="197" spans="1:2" ht="15.75">
      <c r="A197" s="182"/>
      <c r="B197" s="182"/>
    </row>
    <row r="198" spans="1:2" ht="15.75">
      <c r="A198" s="182"/>
      <c r="B198" s="182"/>
    </row>
    <row r="199" spans="1:2" ht="15.75">
      <c r="A199" s="182"/>
      <c r="B199" s="182"/>
    </row>
    <row r="200" spans="1:2" ht="15.75">
      <c r="A200" s="182"/>
      <c r="B200" s="182"/>
    </row>
    <row r="201" spans="1:2" ht="15.75">
      <c r="A201" s="182"/>
      <c r="B201" s="182"/>
    </row>
    <row r="202" spans="1:2" ht="15.75">
      <c r="A202" s="182"/>
      <c r="B202" s="182"/>
    </row>
    <row r="203" spans="1:2" ht="15.75">
      <c r="A203" s="182"/>
      <c r="B203" s="182"/>
    </row>
    <row r="204" spans="1:2" ht="15.75">
      <c r="A204" s="182"/>
      <c r="B204" s="182"/>
    </row>
    <row r="205" spans="1:2" ht="15.75">
      <c r="A205" s="182"/>
      <c r="B205" s="182"/>
    </row>
    <row r="206" spans="1:2" ht="15.75">
      <c r="A206" s="182"/>
      <c r="B206" s="182"/>
    </row>
    <row r="207" spans="1:2" ht="15.75">
      <c r="A207" s="182"/>
      <c r="B207" s="182"/>
    </row>
    <row r="208" spans="1:2" ht="15.75">
      <c r="A208" s="182"/>
      <c r="B208" s="182"/>
    </row>
    <row r="209" spans="1:2" ht="15.75">
      <c r="A209" s="182"/>
      <c r="B209" s="182"/>
    </row>
    <row r="210" spans="1:2" ht="15.75">
      <c r="A210" s="182"/>
      <c r="B210" s="182"/>
    </row>
    <row r="211" spans="1:2" ht="15.75">
      <c r="A211" s="182"/>
      <c r="B211" s="182"/>
    </row>
    <row r="212" spans="1:2" ht="15.75">
      <c r="A212" s="182"/>
      <c r="B212" s="182"/>
    </row>
    <row r="213" spans="1:2" ht="15.75">
      <c r="A213" s="182"/>
      <c r="B213" s="182"/>
    </row>
    <row r="214" spans="1:2" ht="15.75">
      <c r="A214" s="182"/>
      <c r="B214" s="182"/>
    </row>
    <row r="215" spans="1:2" ht="15.75">
      <c r="A215" s="182"/>
      <c r="B215" s="182"/>
    </row>
    <row r="216" spans="1:2" ht="15.75">
      <c r="A216" s="182"/>
      <c r="B216" s="182"/>
    </row>
    <row r="217" spans="1:2" ht="15.75">
      <c r="A217" s="182"/>
      <c r="B217" s="182"/>
    </row>
    <row r="218" spans="1:2" ht="15.75">
      <c r="A218" s="182"/>
      <c r="B218" s="182"/>
    </row>
    <row r="219" spans="1:2" ht="15.75">
      <c r="A219" s="182"/>
      <c r="B219" s="182"/>
    </row>
    <row r="220" spans="1:2" ht="15.75">
      <c r="A220" s="182"/>
      <c r="B220" s="182"/>
    </row>
    <row r="221" spans="1:2" ht="15.75">
      <c r="A221" s="182"/>
      <c r="B221" s="182"/>
    </row>
    <row r="222" spans="1:2" ht="15.75">
      <c r="A222" s="182"/>
      <c r="B222" s="182"/>
    </row>
    <row r="223" spans="1:2" ht="15.75">
      <c r="A223" s="182"/>
      <c r="B223" s="182"/>
    </row>
    <row r="224" spans="1:2" ht="15.75">
      <c r="A224" s="182"/>
      <c r="B224" s="182"/>
    </row>
    <row r="225" spans="1:2" ht="15.75">
      <c r="A225" s="182"/>
      <c r="B225" s="182"/>
    </row>
    <row r="226" spans="1:2" ht="15.75">
      <c r="A226" s="182"/>
      <c r="B226" s="182"/>
    </row>
    <row r="227" spans="1:2" ht="15.75">
      <c r="A227" s="182"/>
      <c r="B227" s="182"/>
    </row>
    <row r="228" spans="1:2" ht="15.75">
      <c r="A228" s="182"/>
      <c r="B228" s="182"/>
    </row>
    <row r="229" spans="1:2" ht="15.75">
      <c r="A229" s="182"/>
      <c r="B229" s="182"/>
    </row>
    <row r="230" spans="1:2" ht="15.75">
      <c r="A230" s="182"/>
      <c r="B230" s="182"/>
    </row>
    <row r="231" spans="1:2" ht="15.75">
      <c r="A231" s="183"/>
      <c r="B231" s="183"/>
    </row>
    <row r="232" spans="1:2" ht="15.75">
      <c r="A232" s="182"/>
      <c r="B232" s="182"/>
    </row>
    <row r="233" spans="1:2" ht="15.75">
      <c r="A233" s="182"/>
      <c r="B233" s="182"/>
    </row>
    <row r="234" spans="1:2" ht="15.75">
      <c r="A234" s="182"/>
      <c r="B234" s="182"/>
    </row>
    <row r="235" spans="1:2" ht="15.75">
      <c r="A235" s="182"/>
      <c r="B235" s="182"/>
    </row>
    <row r="236" spans="1:2" ht="15.75">
      <c r="A236" s="182"/>
      <c r="B236" s="182"/>
    </row>
    <row r="237" spans="1:2" ht="15.75">
      <c r="A237" s="182"/>
      <c r="B237" s="182"/>
    </row>
    <row r="238" spans="1:2" ht="15.75">
      <c r="A238" s="182"/>
      <c r="B238" s="182"/>
    </row>
    <row r="239" spans="1:2" ht="15.75">
      <c r="A239" s="182"/>
      <c r="B239" s="182"/>
    </row>
    <row r="240" spans="1:2" ht="15.75">
      <c r="A240" s="182"/>
      <c r="B240" s="182"/>
    </row>
    <row r="241" spans="1:2" ht="15.75">
      <c r="A241" s="182"/>
      <c r="B241" s="182"/>
    </row>
    <row r="242" spans="1:2" ht="15.75">
      <c r="A242" s="182"/>
      <c r="B242" s="182"/>
    </row>
    <row r="243" spans="1:2" ht="19.5" customHeight="1">
      <c r="A243" s="182"/>
      <c r="B243" s="182"/>
    </row>
    <row r="244" spans="1:2" ht="19.5" customHeight="1">
      <c r="A244" s="182"/>
      <c r="B244" s="182"/>
    </row>
    <row r="245" spans="1:2" ht="19.5" customHeight="1">
      <c r="A245" s="182"/>
      <c r="B245" s="182"/>
    </row>
    <row r="246" spans="1:2" ht="19.5" customHeight="1">
      <c r="A246" s="182"/>
      <c r="B246" s="182"/>
    </row>
    <row r="247" spans="1:2" ht="19.5" customHeight="1">
      <c r="A247" s="182"/>
      <c r="B247" s="182"/>
    </row>
    <row r="248" spans="1:2" ht="19.5" customHeight="1">
      <c r="A248" s="182"/>
      <c r="B248" s="182"/>
    </row>
    <row r="249" spans="1:2" ht="19.5" customHeight="1">
      <c r="A249" s="182"/>
      <c r="B249" s="182"/>
    </row>
    <row r="250" spans="1:2" ht="19.5" customHeight="1">
      <c r="A250" s="182"/>
      <c r="B250" s="182"/>
    </row>
    <row r="251" spans="1:2" ht="19.5" customHeight="1">
      <c r="A251" s="182"/>
      <c r="B251" s="182"/>
    </row>
    <row r="252" spans="1:2" ht="19.5" customHeight="1">
      <c r="A252" s="182"/>
      <c r="B252" s="182"/>
    </row>
    <row r="253" spans="1:2" ht="19.5" customHeight="1">
      <c r="A253" s="182"/>
      <c r="B253" s="182"/>
    </row>
    <row r="254" spans="1:2" ht="15.75">
      <c r="A254" s="182"/>
      <c r="B254" s="182"/>
    </row>
    <row r="255" spans="1:2" ht="15.75">
      <c r="A255" s="182"/>
      <c r="B255" s="182"/>
    </row>
    <row r="256" spans="1:2" ht="15.75">
      <c r="A256" s="182"/>
      <c r="B256" s="182"/>
    </row>
    <row r="257" spans="1:2" ht="15.75">
      <c r="A257" s="182"/>
      <c r="B257" s="182"/>
    </row>
    <row r="258" spans="1:2" ht="15.75">
      <c r="A258" s="182"/>
      <c r="B258" s="182"/>
    </row>
    <row r="259" spans="1:2" ht="15.75">
      <c r="A259" s="182"/>
      <c r="B259" s="182"/>
    </row>
    <row r="260" spans="1:2" ht="15.75">
      <c r="A260" s="182"/>
      <c r="B260" s="182"/>
    </row>
    <row r="293" ht="15.75">
      <c r="U293" s="177" t="s">
        <v>0</v>
      </c>
    </row>
  </sheetData>
  <sheetProtection password="CC11" sheet="1"/>
  <mergeCells count="28">
    <mergeCell ref="A135:E135"/>
    <mergeCell ref="H12:I12"/>
    <mergeCell ref="H13:H15"/>
    <mergeCell ref="I13:I15"/>
    <mergeCell ref="A67:E67"/>
    <mergeCell ref="A84:E84"/>
    <mergeCell ref="A95:E95"/>
    <mergeCell ref="A102:E102"/>
    <mergeCell ref="A8:G8"/>
    <mergeCell ref="A9:G9"/>
    <mergeCell ref="A10:G10"/>
    <mergeCell ref="B13:B15"/>
    <mergeCell ref="G13:G15"/>
    <mergeCell ref="A133:G133"/>
    <mergeCell ref="A103:G103"/>
    <mergeCell ref="E13:E15"/>
    <mergeCell ref="F13:F15"/>
    <mergeCell ref="A16:C16"/>
    <mergeCell ref="A138:C138"/>
    <mergeCell ref="A141:C141"/>
    <mergeCell ref="A11:G11"/>
    <mergeCell ref="A68:G68"/>
    <mergeCell ref="A85:G85"/>
    <mergeCell ref="A96:G96"/>
    <mergeCell ref="A12:E12"/>
    <mergeCell ref="F12:G12"/>
    <mergeCell ref="A132:E132"/>
    <mergeCell ref="A131:E131"/>
  </mergeCells>
  <printOptions horizontalCentered="1"/>
  <pageMargins left="0.25" right="0.25" top="1" bottom="1" header="0.3" footer="0.3"/>
  <pageSetup fitToHeight="0" horizontalDpi="600" verticalDpi="600" orientation="portrait" scale="25" r:id="rId1"/>
  <rowBreaks count="1" manualBreakCount="1">
    <brk id="8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539"/>
  <sheetViews>
    <sheetView zoomScale="87" zoomScaleNormal="87" zoomScalePageLayoutView="0" workbookViewId="0" topLeftCell="A12">
      <selection activeCell="H23" sqref="H23"/>
    </sheetView>
  </sheetViews>
  <sheetFormatPr defaultColWidth="10.8984375" defaultRowHeight="15"/>
  <cols>
    <col min="1" max="1" width="10.59765625" style="2" customWidth="1"/>
    <col min="2" max="2" width="12.59765625" style="2" customWidth="1"/>
    <col min="3" max="3" width="112.69921875" style="2" customWidth="1"/>
    <col min="4" max="4" width="10.59765625" style="2" customWidth="1"/>
    <col min="5" max="5" width="16.59765625" style="2" hidden="1" customWidth="1"/>
    <col min="6" max="6" width="16.59765625" style="98" customWidth="1"/>
    <col min="7" max="7" width="16.59765625" style="3" hidden="1" customWidth="1"/>
    <col min="8" max="8" width="16.59765625" style="2" customWidth="1"/>
    <col min="9" max="9" width="25.59765625" style="2" customWidth="1"/>
    <col min="10" max="10" width="18.19921875" style="2" customWidth="1"/>
    <col min="11" max="11" width="18.19921875" style="4" customWidth="1"/>
    <col min="12" max="12" width="4.09765625" style="5" customWidth="1"/>
    <col min="13" max="13" width="24.09765625" style="5" customWidth="1"/>
    <col min="14" max="14" width="17.3984375" style="6" customWidth="1"/>
    <col min="15" max="15" width="10.8984375" style="5" customWidth="1"/>
    <col min="16" max="16" width="13.5" style="5" customWidth="1"/>
    <col min="17" max="40" width="7.59765625" style="5" customWidth="1"/>
    <col min="41" max="41" width="10.5" style="5" bestFit="1" customWidth="1"/>
    <col min="42" max="16384" width="10.8984375" style="5" customWidth="1"/>
  </cols>
  <sheetData>
    <row r="1" spans="1:2" ht="15.75" hidden="1">
      <c r="A1" s="1" t="s">
        <v>20</v>
      </c>
      <c r="B1" s="1"/>
    </row>
    <row r="2" spans="1:3" ht="15" hidden="1">
      <c r="A2" s="2" t="s">
        <v>13</v>
      </c>
      <c r="C2" s="7" t="s">
        <v>21</v>
      </c>
    </row>
    <row r="3" spans="1:3" ht="15" hidden="1">
      <c r="A3" s="7" t="s">
        <v>14</v>
      </c>
      <c r="B3" s="7"/>
      <c r="C3" s="7" t="s">
        <v>36</v>
      </c>
    </row>
    <row r="4" spans="1:3" ht="15" hidden="1">
      <c r="A4" s="2" t="s">
        <v>15</v>
      </c>
      <c r="C4" s="7" t="s">
        <v>37</v>
      </c>
    </row>
    <row r="5" spans="1:3" ht="15" hidden="1">
      <c r="A5" s="2" t="s">
        <v>16</v>
      </c>
      <c r="C5" s="7" t="s">
        <v>18</v>
      </c>
    </row>
    <row r="6" spans="1:3" ht="15" hidden="1">
      <c r="A6" s="7" t="s">
        <v>17</v>
      </c>
      <c r="B6" s="7"/>
      <c r="C6" s="7" t="s">
        <v>19</v>
      </c>
    </row>
    <row r="7" spans="1:2" ht="15" hidden="1">
      <c r="A7" s="8"/>
      <c r="B7" s="8"/>
    </row>
    <row r="8" spans="1:14" ht="20.25">
      <c r="A8" s="327" t="s">
        <v>147</v>
      </c>
      <c r="B8" s="327"/>
      <c r="C8" s="327"/>
      <c r="D8" s="327"/>
      <c r="E8" s="327"/>
      <c r="F8" s="327"/>
      <c r="G8" s="327"/>
      <c r="H8" s="327"/>
      <c r="I8" s="327"/>
      <c r="J8" s="96" t="s">
        <v>55</v>
      </c>
      <c r="K8" s="97">
        <v>0</v>
      </c>
      <c r="M8" s="46">
        <f>SUM(I20:I91)+I103+I133+I199+I214</f>
        <v>24018698</v>
      </c>
      <c r="N8" s="47" t="s">
        <v>22</v>
      </c>
    </row>
    <row r="9" spans="1:14" ht="20.25">
      <c r="A9" s="327" t="s">
        <v>148</v>
      </c>
      <c r="B9" s="327"/>
      <c r="C9" s="327"/>
      <c r="D9" s="327"/>
      <c r="E9" s="327"/>
      <c r="F9" s="327"/>
      <c r="G9" s="327"/>
      <c r="H9" s="327"/>
      <c r="I9" s="327"/>
      <c r="J9" s="96" t="s">
        <v>54</v>
      </c>
      <c r="K9" s="97">
        <v>0</v>
      </c>
      <c r="M9" s="46">
        <f>ROUND(M8*N9,0)</f>
        <v>2401870</v>
      </c>
      <c r="N9" s="52">
        <v>0.1</v>
      </c>
    </row>
    <row r="10" spans="1:14" ht="20.25">
      <c r="A10" s="327" t="s">
        <v>552</v>
      </c>
      <c r="B10" s="327"/>
      <c r="C10" s="327"/>
      <c r="D10" s="327"/>
      <c r="E10" s="327"/>
      <c r="F10" s="327"/>
      <c r="G10" s="327"/>
      <c r="H10" s="327"/>
      <c r="I10" s="327"/>
      <c r="M10" s="46">
        <f>SUM(I21:I91)+I103+I133+I199+I214</f>
        <v>21835180</v>
      </c>
      <c r="N10" s="47" t="s">
        <v>23</v>
      </c>
    </row>
    <row r="11" spans="1:14" ht="20.25">
      <c r="A11" s="327" t="s">
        <v>149</v>
      </c>
      <c r="B11" s="327"/>
      <c r="C11" s="327"/>
      <c r="D11" s="327"/>
      <c r="E11" s="327"/>
      <c r="F11" s="327"/>
      <c r="G11" s="327"/>
      <c r="H11" s="327"/>
      <c r="I11" s="327"/>
      <c r="M11" s="46">
        <f>ROUND(M10*N11,0)</f>
        <v>2183518</v>
      </c>
      <c r="N11" s="52">
        <v>0.1</v>
      </c>
    </row>
    <row r="12" spans="1:21" ht="20.25">
      <c r="A12" s="327"/>
      <c r="B12" s="327"/>
      <c r="C12" s="327"/>
      <c r="D12" s="327"/>
      <c r="E12" s="327"/>
      <c r="F12" s="327"/>
      <c r="G12" s="327"/>
      <c r="H12" s="327"/>
      <c r="I12" s="327"/>
      <c r="M12" s="327"/>
      <c r="N12" s="327"/>
      <c r="O12" s="327"/>
      <c r="P12" s="327"/>
      <c r="Q12" s="327"/>
      <c r="R12" s="327"/>
      <c r="S12" s="327"/>
      <c r="T12" s="327"/>
      <c r="U12" s="327"/>
    </row>
    <row r="13" spans="1:19" ht="18.75" thickBot="1">
      <c r="A13" s="328" t="s">
        <v>88</v>
      </c>
      <c r="B13" s="328"/>
      <c r="C13" s="328"/>
      <c r="D13" s="328"/>
      <c r="E13" s="328"/>
      <c r="F13" s="328"/>
      <c r="G13" s="328"/>
      <c r="H13" s="328"/>
      <c r="I13" s="328"/>
      <c r="R13" s="46"/>
      <c r="S13" s="47"/>
    </row>
    <row r="14" spans="1:16" ht="46.5" customHeight="1" thickBot="1" thickTop="1">
      <c r="A14" s="329" t="s">
        <v>489</v>
      </c>
      <c r="B14" s="330"/>
      <c r="C14" s="330"/>
      <c r="D14" s="330"/>
      <c r="E14" s="330"/>
      <c r="F14" s="330"/>
      <c r="G14" s="330"/>
      <c r="H14" s="330"/>
      <c r="I14" s="331"/>
      <c r="J14" s="9"/>
      <c r="M14" s="95" t="s">
        <v>343</v>
      </c>
      <c r="N14" s="10"/>
      <c r="O14" s="11"/>
      <c r="P14" s="11"/>
    </row>
    <row r="15" spans="1:16" ht="16.5" thickTop="1">
      <c r="A15" s="74"/>
      <c r="B15" s="332" t="s">
        <v>39</v>
      </c>
      <c r="C15" s="12"/>
      <c r="D15" s="12"/>
      <c r="E15" s="334" t="s">
        <v>341</v>
      </c>
      <c r="F15" s="336" t="s">
        <v>40</v>
      </c>
      <c r="G15" s="334" t="s">
        <v>342</v>
      </c>
      <c r="H15" s="332" t="s">
        <v>53</v>
      </c>
      <c r="I15" s="75"/>
      <c r="M15" s="11"/>
      <c r="N15" s="11"/>
      <c r="P15" s="11"/>
    </row>
    <row r="16" spans="1:16" ht="15.75" customHeight="1">
      <c r="A16" s="76" t="s">
        <v>3</v>
      </c>
      <c r="B16" s="332"/>
      <c r="C16" s="12" t="s">
        <v>4</v>
      </c>
      <c r="D16" s="13" t="s">
        <v>5</v>
      </c>
      <c r="E16" s="334"/>
      <c r="F16" s="336"/>
      <c r="G16" s="338"/>
      <c r="H16" s="340"/>
      <c r="I16" s="77" t="s">
        <v>6</v>
      </c>
      <c r="J16" s="14" t="s">
        <v>1</v>
      </c>
      <c r="K16" s="14" t="s">
        <v>2</v>
      </c>
      <c r="M16" s="11"/>
      <c r="N16" s="11"/>
      <c r="P16" s="11"/>
    </row>
    <row r="17" spans="1:16" ht="16.5" thickBot="1">
      <c r="A17" s="78"/>
      <c r="B17" s="333"/>
      <c r="C17" s="73"/>
      <c r="D17" s="73"/>
      <c r="E17" s="335"/>
      <c r="F17" s="337"/>
      <c r="G17" s="339"/>
      <c r="H17" s="341"/>
      <c r="I17" s="79"/>
      <c r="J17" s="15" t="s">
        <v>7</v>
      </c>
      <c r="K17" s="15" t="s">
        <v>8</v>
      </c>
      <c r="M17" s="16"/>
      <c r="N17" s="16"/>
      <c r="O17" s="17"/>
      <c r="P17" s="11"/>
    </row>
    <row r="18" spans="1:41" ht="23.25" customHeight="1" thickBot="1" thickTop="1">
      <c r="A18" s="342" t="s">
        <v>42</v>
      </c>
      <c r="B18" s="343"/>
      <c r="C18" s="343"/>
      <c r="D18" s="343"/>
      <c r="E18" s="343"/>
      <c r="F18" s="343"/>
      <c r="G18" s="343"/>
      <c r="H18" s="343"/>
      <c r="I18" s="344"/>
      <c r="J18" s="15"/>
      <c r="K18" s="15"/>
      <c r="M18" s="16"/>
      <c r="N18" s="16"/>
      <c r="O18" s="17"/>
      <c r="P18" s="11"/>
      <c r="Q18" s="345" t="s">
        <v>344</v>
      </c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7"/>
      <c r="AO18" s="122"/>
    </row>
    <row r="19" spans="1:42" s="128" customFormat="1" ht="23.25" customHeight="1" thickTop="1">
      <c r="A19" s="123">
        <f>ROW()-18</f>
        <v>1</v>
      </c>
      <c r="B19" s="28" t="s">
        <v>174</v>
      </c>
      <c r="C19" s="20" t="s">
        <v>437</v>
      </c>
      <c r="D19" s="21" t="s">
        <v>9</v>
      </c>
      <c r="E19" s="21">
        <v>1</v>
      </c>
      <c r="F19" s="99">
        <f>E19</f>
        <v>1</v>
      </c>
      <c r="G19" s="124"/>
      <c r="H19" s="24">
        <f>M9</f>
        <v>2401870</v>
      </c>
      <c r="I19" s="125">
        <f aca="true" t="shared" si="0" ref="I19:I89">ROUNDUP(F19*H19,0)</f>
        <v>2401870</v>
      </c>
      <c r="J19" s="126"/>
      <c r="K19" s="127"/>
      <c r="M19" s="129"/>
      <c r="N19" s="130"/>
      <c r="P19" s="131"/>
      <c r="Q19" s="132" t="s">
        <v>317</v>
      </c>
      <c r="R19" s="132" t="s">
        <v>318</v>
      </c>
      <c r="S19" s="132" t="s">
        <v>319</v>
      </c>
      <c r="T19" s="132" t="s">
        <v>320</v>
      </c>
      <c r="U19" s="132" t="s">
        <v>321</v>
      </c>
      <c r="V19" s="132" t="s">
        <v>322</v>
      </c>
      <c r="W19" s="132" t="s">
        <v>323</v>
      </c>
      <c r="X19" s="132" t="s">
        <v>324</v>
      </c>
      <c r="Y19" s="132" t="s">
        <v>325</v>
      </c>
      <c r="Z19" s="132" t="s">
        <v>326</v>
      </c>
      <c r="AA19" s="132" t="s">
        <v>327</v>
      </c>
      <c r="AB19" s="132" t="s">
        <v>328</v>
      </c>
      <c r="AC19" s="132" t="s">
        <v>329</v>
      </c>
      <c r="AD19" s="132" t="s">
        <v>330</v>
      </c>
      <c r="AE19" s="132" t="s">
        <v>331</v>
      </c>
      <c r="AF19" s="132" t="s">
        <v>332</v>
      </c>
      <c r="AG19" s="132" t="s">
        <v>333</v>
      </c>
      <c r="AH19" s="132" t="s">
        <v>334</v>
      </c>
      <c r="AI19" s="132" t="s">
        <v>335</v>
      </c>
      <c r="AJ19" s="132" t="s">
        <v>336</v>
      </c>
      <c r="AK19" s="132" t="s">
        <v>337</v>
      </c>
      <c r="AL19" s="132" t="s">
        <v>338</v>
      </c>
      <c r="AM19" s="132" t="s">
        <v>496</v>
      </c>
      <c r="AN19" s="132" t="s">
        <v>513</v>
      </c>
      <c r="AO19" s="133" t="s">
        <v>507</v>
      </c>
      <c r="AP19" s="134"/>
    </row>
    <row r="20" spans="1:42" s="137" customFormat="1" ht="23.25" customHeight="1">
      <c r="A20" s="123">
        <f aca="true" t="shared" si="1" ref="A20:A91">ROW()-18</f>
        <v>2</v>
      </c>
      <c r="B20" s="28" t="s">
        <v>175</v>
      </c>
      <c r="C20" s="29" t="s">
        <v>438</v>
      </c>
      <c r="D20" s="30" t="s">
        <v>9</v>
      </c>
      <c r="E20" s="30">
        <v>1</v>
      </c>
      <c r="F20" s="100">
        <f>E20</f>
        <v>1</v>
      </c>
      <c r="G20" s="64"/>
      <c r="H20" s="33">
        <f>M11</f>
        <v>2183518</v>
      </c>
      <c r="I20" s="135">
        <f t="shared" si="0"/>
        <v>2183518</v>
      </c>
      <c r="J20" s="136"/>
      <c r="K20" s="33"/>
      <c r="M20" s="138"/>
      <c r="N20" s="139"/>
      <c r="P20" s="140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2"/>
      <c r="AP20" s="137">
        <f>SUM(Q20:AN20)</f>
        <v>0</v>
      </c>
    </row>
    <row r="21" spans="1:42" s="137" customFormat="1" ht="23.25" customHeight="1">
      <c r="A21" s="123">
        <f t="shared" si="1"/>
        <v>3</v>
      </c>
      <c r="B21" s="28" t="s">
        <v>70</v>
      </c>
      <c r="C21" s="29" t="s">
        <v>67</v>
      </c>
      <c r="D21" s="30" t="s">
        <v>12</v>
      </c>
      <c r="E21" s="38">
        <f aca="true" t="shared" si="2" ref="E21:E87">ROUNDUP(AP21,0)</f>
        <v>5</v>
      </c>
      <c r="F21" s="39">
        <f>E21</f>
        <v>5</v>
      </c>
      <c r="G21" s="64">
        <v>108.91</v>
      </c>
      <c r="H21" s="33">
        <f aca="true" t="shared" si="3" ref="H21:H85">_xlfn.CEILING.MATH(G21*(1+$K$9),1)</f>
        <v>109</v>
      </c>
      <c r="I21" s="135">
        <f t="shared" si="0"/>
        <v>545</v>
      </c>
      <c r="J21" s="136"/>
      <c r="K21" s="33"/>
      <c r="M21" s="138"/>
      <c r="N21" s="139"/>
      <c r="P21" s="140"/>
      <c r="Q21" s="141">
        <v>0</v>
      </c>
      <c r="R21" s="141">
        <v>1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2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2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2">
        <v>0</v>
      </c>
      <c r="AP21" s="137">
        <f>SUM(Q21:AO21)</f>
        <v>5</v>
      </c>
    </row>
    <row r="22" spans="1:42" s="137" customFormat="1" ht="23.25" customHeight="1">
      <c r="A22" s="123">
        <f t="shared" si="1"/>
        <v>4</v>
      </c>
      <c r="B22" s="28" t="s">
        <v>68</v>
      </c>
      <c r="C22" s="29" t="s">
        <v>65</v>
      </c>
      <c r="D22" s="30" t="s">
        <v>11</v>
      </c>
      <c r="E22" s="38">
        <f t="shared" si="2"/>
        <v>22751</v>
      </c>
      <c r="F22" s="39">
        <f>E22</f>
        <v>22751</v>
      </c>
      <c r="G22" s="64">
        <v>1.86</v>
      </c>
      <c r="H22" s="33">
        <f t="shared" si="3"/>
        <v>2</v>
      </c>
      <c r="I22" s="135">
        <f t="shared" si="0"/>
        <v>45502</v>
      </c>
      <c r="J22" s="136"/>
      <c r="K22" s="33"/>
      <c r="M22" s="138"/>
      <c r="N22" s="139"/>
      <c r="Q22" s="141">
        <f>424.47+413.99</f>
        <v>838.46</v>
      </c>
      <c r="R22" s="141">
        <f>236.69+209.48+53.82+124.19+206.79</f>
        <v>830.9699999999999</v>
      </c>
      <c r="S22" s="141">
        <f>42.85+67.61+173.12+156.04+32.01+349.71+217.96+155.65+35.11</f>
        <v>1230.06</v>
      </c>
      <c r="T22" s="141">
        <f>298.13+289.41+80.99+149.31+448.42</f>
        <v>1266.26</v>
      </c>
      <c r="U22" s="141">
        <f>229.28+188.22+155.17+88.11+43.43+137.72+31.48+66.01+159.66</f>
        <v>1099.08</v>
      </c>
      <c r="V22" s="141">
        <f>28.61+218.36+110.84+182.44+589.78</f>
        <v>1130.03</v>
      </c>
      <c r="W22" s="141">
        <f>65.68+514.12+581.08</f>
        <v>1160.88</v>
      </c>
      <c r="X22" s="141">
        <f>134.55+543.48+141.7+177.98+165.72+49.78</f>
        <v>1213.21</v>
      </c>
      <c r="Y22" s="141">
        <f>235.89+437.34+403.79+230.79</f>
        <v>1307.81</v>
      </c>
      <c r="Z22" s="141">
        <f>198.95+278.16+72.85+135.17+236.55+191.96</f>
        <v>1113.64</v>
      </c>
      <c r="AA22" s="141">
        <f>167.2+91.26+232.02+174.76+268.31+60.1+48.15+102.41</f>
        <v>1144.21</v>
      </c>
      <c r="AB22" s="141">
        <f>332.18+151.64</f>
        <v>483.82</v>
      </c>
      <c r="AC22" s="141">
        <f>581.91+580.1</f>
        <v>1162.01</v>
      </c>
      <c r="AD22" s="141">
        <f>126.83+498.95+597.89</f>
        <v>1223.67</v>
      </c>
      <c r="AE22" s="141">
        <f>580.97+13.44+284.09+243.6</f>
        <v>1122.1</v>
      </c>
      <c r="AF22" s="141">
        <f>350.29+78.84+33.42+546.24</f>
        <v>1008.79</v>
      </c>
      <c r="AG22" s="141">
        <f>192.54+447.55+400.51+176.24</f>
        <v>1216.84</v>
      </c>
      <c r="AH22" s="141">
        <f>205.35+41.62+110.48+581.16</f>
        <v>938.6099999999999</v>
      </c>
      <c r="AI22" s="141">
        <f>506.1+580.12</f>
        <v>1086.22</v>
      </c>
      <c r="AJ22" s="141">
        <v>104.36</v>
      </c>
      <c r="AK22" s="141">
        <v>100.42</v>
      </c>
      <c r="AL22" s="141">
        <f>305.92+242.98+446.94+30.4+72.1</f>
        <v>1098.34</v>
      </c>
      <c r="AM22" s="141">
        <f>467.45+84.29+256.5+62.66</f>
        <v>870.9</v>
      </c>
      <c r="AN22" s="141">
        <v>0</v>
      </c>
      <c r="AO22" s="142">
        <f>2043.3+514.73+405.31</f>
        <v>2963.3399999999997</v>
      </c>
      <c r="AP22" s="137">
        <f aca="true" t="shared" si="4" ref="AP22:AP34">SUM(Q22:AN22)</f>
        <v>22750.690000000002</v>
      </c>
    </row>
    <row r="23" spans="1:42" s="137" customFormat="1" ht="23.25" customHeight="1">
      <c r="A23" s="123">
        <f t="shared" si="1"/>
        <v>5</v>
      </c>
      <c r="B23" s="28" t="s">
        <v>439</v>
      </c>
      <c r="C23" s="29" t="s">
        <v>440</v>
      </c>
      <c r="D23" s="30" t="s">
        <v>11</v>
      </c>
      <c r="E23" s="38">
        <f t="shared" si="2"/>
        <v>1765</v>
      </c>
      <c r="F23" s="39">
        <f>E23</f>
        <v>1765</v>
      </c>
      <c r="G23" s="64">
        <v>6.34</v>
      </c>
      <c r="H23" s="33">
        <f t="shared" si="3"/>
        <v>7</v>
      </c>
      <c r="I23" s="135">
        <f t="shared" si="0"/>
        <v>12355</v>
      </c>
      <c r="J23" s="136"/>
      <c r="K23" s="33"/>
      <c r="M23" s="138"/>
      <c r="N23" s="139"/>
      <c r="O23" s="153"/>
      <c r="Q23" s="141">
        <f>36.21+36.92+41.19+44.44</f>
        <v>158.76</v>
      </c>
      <c r="R23" s="141">
        <f>39.49+49.58</f>
        <v>89.07</v>
      </c>
      <c r="S23" s="141">
        <f>(((213*3)*3)/9)</f>
        <v>213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f>42.99+71.5+123.79</f>
        <v>238.28000000000003</v>
      </c>
      <c r="AB23" s="141">
        <f>289.45+423.78</f>
        <v>713.23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189.62</v>
      </c>
      <c r="AI23" s="141">
        <v>0</v>
      </c>
      <c r="AJ23" s="141">
        <f>81.42+81.42</f>
        <v>162.84</v>
      </c>
      <c r="AK23" s="141">
        <v>0</v>
      </c>
      <c r="AL23" s="141">
        <v>0</v>
      </c>
      <c r="AM23" s="141">
        <v>0</v>
      </c>
      <c r="AN23" s="141">
        <v>0</v>
      </c>
      <c r="AO23" s="142">
        <f>35.79+35.79+22.64+23.48+24.51+24.58+46.27+45.64</f>
        <v>258.70000000000005</v>
      </c>
      <c r="AP23" s="137">
        <f t="shared" si="4"/>
        <v>1764.8</v>
      </c>
    </row>
    <row r="24" spans="1:42" s="137" customFormat="1" ht="23.25" customHeight="1">
      <c r="A24" s="123">
        <f t="shared" si="1"/>
        <v>6</v>
      </c>
      <c r="B24" s="28" t="s">
        <v>24</v>
      </c>
      <c r="C24" s="29" t="s">
        <v>44</v>
      </c>
      <c r="D24" s="30" t="s">
        <v>84</v>
      </c>
      <c r="E24" s="38">
        <f t="shared" si="2"/>
        <v>52</v>
      </c>
      <c r="F24" s="65">
        <f>E24*1+K8</f>
        <v>52</v>
      </c>
      <c r="G24" s="64">
        <v>27852.42</v>
      </c>
      <c r="H24" s="33">
        <f t="shared" si="3"/>
        <v>27853</v>
      </c>
      <c r="I24" s="135">
        <f t="shared" si="0"/>
        <v>1448356</v>
      </c>
      <c r="J24" s="136"/>
      <c r="K24" s="33"/>
      <c r="M24" s="138"/>
      <c r="N24" s="139"/>
      <c r="Q24" s="141">
        <v>0.61</v>
      </c>
      <c r="R24" s="141">
        <f>0.4+0.73</f>
        <v>1.13</v>
      </c>
      <c r="S24" s="141">
        <v>1.82</v>
      </c>
      <c r="T24" s="141">
        <v>2.04</v>
      </c>
      <c r="U24" s="141">
        <v>2.04</v>
      </c>
      <c r="V24" s="141">
        <v>2.02</v>
      </c>
      <c r="W24" s="141">
        <v>2.05</v>
      </c>
      <c r="X24" s="141">
        <v>2.08</v>
      </c>
      <c r="Y24" s="141">
        <v>2.63</v>
      </c>
      <c r="Z24" s="141">
        <v>2.03</v>
      </c>
      <c r="AA24" s="141">
        <v>2.36</v>
      </c>
      <c r="AB24" s="141">
        <v>2.28</v>
      </c>
      <c r="AC24" s="141">
        <v>2.23</v>
      </c>
      <c r="AD24" s="141">
        <v>2.47</v>
      </c>
      <c r="AE24" s="141">
        <v>2.31</v>
      </c>
      <c r="AF24" s="141">
        <v>2.4</v>
      </c>
      <c r="AG24" s="141">
        <v>3.38</v>
      </c>
      <c r="AH24" s="141">
        <v>3.46</v>
      </c>
      <c r="AI24" s="141">
        <f>3.43-(AI34/43560)</f>
        <v>3.305097796143251</v>
      </c>
      <c r="AJ24" s="141">
        <v>0.27</v>
      </c>
      <c r="AK24" s="141"/>
      <c r="AL24" s="141">
        <f>1.03-(AL34/43560)</f>
        <v>1.0013953168044076</v>
      </c>
      <c r="AM24" s="141">
        <f>0.64-(AM34/43560)</f>
        <v>0.6133011937557392</v>
      </c>
      <c r="AN24" s="141">
        <v>0</v>
      </c>
      <c r="AO24" s="154">
        <f>(287180.5761+12098.7827)/43560</f>
        <v>6.870508696051423</v>
      </c>
      <c r="AP24" s="137">
        <f>SUM(Q24:AO24)</f>
        <v>51.400303002754825</v>
      </c>
    </row>
    <row r="25" spans="1:42" s="137" customFormat="1" ht="23.25" customHeight="1">
      <c r="A25" s="123">
        <f t="shared" si="1"/>
        <v>7</v>
      </c>
      <c r="B25" s="28" t="s">
        <v>31</v>
      </c>
      <c r="C25" s="37" t="s">
        <v>45</v>
      </c>
      <c r="D25" s="30" t="s">
        <v>10</v>
      </c>
      <c r="E25" s="38">
        <f t="shared" si="2"/>
        <v>5037</v>
      </c>
      <c r="F25" s="39">
        <f>E25*1+K9</f>
        <v>5037</v>
      </c>
      <c r="G25" s="64">
        <v>24.4</v>
      </c>
      <c r="H25" s="33">
        <f t="shared" si="3"/>
        <v>25</v>
      </c>
      <c r="I25" s="135">
        <f t="shared" si="0"/>
        <v>125925</v>
      </c>
      <c r="J25" s="136"/>
      <c r="K25" s="33"/>
      <c r="M25" s="138"/>
      <c r="N25" s="139"/>
      <c r="P25" s="128"/>
      <c r="Q25" s="141">
        <f>((30.98+161.05+256.89+14.66)*2)/9</f>
        <v>103.01777777777778</v>
      </c>
      <c r="R25" s="141">
        <f>(((154.04+154.56+199.41)*2)/9)+26.69+102.99</f>
        <v>242.57111111111112</v>
      </c>
      <c r="S25" s="141">
        <f>((31.47*2)/9)+264.81+115.96</f>
        <v>387.7633333333333</v>
      </c>
      <c r="T25" s="141">
        <f>(((145.95+153.85)*2)/9)+136.32+24.21+11.53+23.67+82.25</f>
        <v>344.6022222222222</v>
      </c>
      <c r="U25" s="141">
        <v>14.1</v>
      </c>
      <c r="V25" s="141">
        <v>0</v>
      </c>
      <c r="W25" s="141">
        <f>9.66+265.19</f>
        <v>274.85</v>
      </c>
      <c r="X25" s="141">
        <f>(((125.44+152.47+542.61)*2)/9)+70.13+292.81+14.34</f>
        <v>559.6177777777779</v>
      </c>
      <c r="Y25" s="141">
        <v>163.69</v>
      </c>
      <c r="Z25" s="141">
        <v>0</v>
      </c>
      <c r="AA25" s="141">
        <v>0</v>
      </c>
      <c r="AB25" s="141">
        <f>(((109.28+89.87)*2)/9)+147.02</f>
        <v>191.27555555555557</v>
      </c>
      <c r="AC25" s="141">
        <f>(((941.17+156.01)*2)/9)+198.51+323.84</f>
        <v>766.1677777777777</v>
      </c>
      <c r="AD25" s="141">
        <f>(((144.67+141.49+493.46+441.32)*2)/9)+225.98+34.9+20.9</f>
        <v>553.0999999999999</v>
      </c>
      <c r="AE25" s="141">
        <f>(((26.27+253.65)*2)/9)+309.94</f>
        <v>372.14444444444445</v>
      </c>
      <c r="AF25" s="141">
        <f>178.98+99.65</f>
        <v>278.63</v>
      </c>
      <c r="AG25" s="141">
        <f>(((147.8+103.34+138.56+89.33+167.65)*2)/9)+7.24+10.71+33.52+21.88+166.48+179.45</f>
        <v>562.9866666666667</v>
      </c>
      <c r="AH25" s="141">
        <f>((51.67*2)/9)+79.27</f>
        <v>90.75222222222222</v>
      </c>
      <c r="AI25" s="141">
        <f>((170.7*2)/9)</f>
        <v>37.93333333333333</v>
      </c>
      <c r="AJ25" s="141">
        <f>((165.77*2)/9)</f>
        <v>36.83777777777778</v>
      </c>
      <c r="AK25" s="141">
        <v>14.26</v>
      </c>
      <c r="AL25" s="141">
        <v>0</v>
      </c>
      <c r="AM25" s="141">
        <v>42.36</v>
      </c>
      <c r="AN25" s="141">
        <v>0</v>
      </c>
      <c r="AO25" s="142">
        <v>0</v>
      </c>
      <c r="AP25" s="137">
        <f>SUM(Q25:AO25)</f>
        <v>5036.66</v>
      </c>
    </row>
    <row r="26" spans="1:42" s="137" customFormat="1" ht="23.25" customHeight="1">
      <c r="A26" s="123">
        <f t="shared" si="1"/>
        <v>8</v>
      </c>
      <c r="B26" s="28" t="s">
        <v>82</v>
      </c>
      <c r="C26" s="37" t="s">
        <v>441</v>
      </c>
      <c r="D26" s="30" t="s">
        <v>12</v>
      </c>
      <c r="E26" s="38">
        <f t="shared" si="2"/>
        <v>21</v>
      </c>
      <c r="F26" s="39">
        <f>E26</f>
        <v>21</v>
      </c>
      <c r="G26" s="64">
        <v>173.17</v>
      </c>
      <c r="H26" s="33">
        <f t="shared" si="3"/>
        <v>174</v>
      </c>
      <c r="I26" s="135">
        <f t="shared" si="0"/>
        <v>3654</v>
      </c>
      <c r="J26" s="136"/>
      <c r="K26" s="33"/>
      <c r="M26" s="138"/>
      <c r="N26" s="139"/>
      <c r="P26" s="128"/>
      <c r="Q26" s="173">
        <v>0</v>
      </c>
      <c r="R26" s="141">
        <v>0</v>
      </c>
      <c r="S26" s="141">
        <v>4</v>
      </c>
      <c r="T26" s="141">
        <v>1</v>
      </c>
      <c r="U26" s="141">
        <v>2</v>
      </c>
      <c r="V26" s="141">
        <v>3</v>
      </c>
      <c r="W26" s="141">
        <v>0</v>
      </c>
      <c r="X26" s="141">
        <v>0</v>
      </c>
      <c r="Y26" s="141">
        <v>1</v>
      </c>
      <c r="Z26" s="141">
        <v>4</v>
      </c>
      <c r="AA26" s="141">
        <v>2</v>
      </c>
      <c r="AB26" s="141">
        <v>0</v>
      </c>
      <c r="AC26" s="141">
        <v>0</v>
      </c>
      <c r="AD26" s="141">
        <v>0</v>
      </c>
      <c r="AE26" s="141">
        <v>0</v>
      </c>
      <c r="AF26" s="141">
        <v>1</v>
      </c>
      <c r="AG26" s="141">
        <v>0</v>
      </c>
      <c r="AH26" s="141">
        <v>1</v>
      </c>
      <c r="AI26" s="141">
        <v>0</v>
      </c>
      <c r="AJ26" s="141">
        <v>0</v>
      </c>
      <c r="AK26" s="141"/>
      <c r="AL26" s="141">
        <v>2</v>
      </c>
      <c r="AM26" s="141">
        <v>0</v>
      </c>
      <c r="AN26" s="141">
        <v>0</v>
      </c>
      <c r="AO26" s="142"/>
      <c r="AP26" s="137">
        <f t="shared" si="4"/>
        <v>21</v>
      </c>
    </row>
    <row r="27" spans="1:42" s="137" customFormat="1" ht="23.25" customHeight="1">
      <c r="A27" s="123">
        <f t="shared" si="1"/>
        <v>9</v>
      </c>
      <c r="B27" s="28" t="s">
        <v>73</v>
      </c>
      <c r="C27" s="37" t="s">
        <v>71</v>
      </c>
      <c r="D27" s="30" t="s">
        <v>56</v>
      </c>
      <c r="E27" s="38">
        <v>140982.3</v>
      </c>
      <c r="F27" s="39">
        <f>ROUNDUP(E27,0)</f>
        <v>140983</v>
      </c>
      <c r="G27" s="64">
        <v>6.32</v>
      </c>
      <c r="H27" s="33">
        <f t="shared" si="3"/>
        <v>7</v>
      </c>
      <c r="I27" s="135">
        <f t="shared" si="0"/>
        <v>986881</v>
      </c>
      <c r="J27" s="136"/>
      <c r="K27" s="33"/>
      <c r="M27" s="138"/>
      <c r="N27" s="139"/>
      <c r="P27" s="155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37">
        <f t="shared" si="4"/>
        <v>0</v>
      </c>
    </row>
    <row r="28" spans="1:42" s="137" customFormat="1" ht="23.25" customHeight="1">
      <c r="A28" s="123">
        <f t="shared" si="1"/>
        <v>10</v>
      </c>
      <c r="B28" s="28" t="s">
        <v>74</v>
      </c>
      <c r="C28" s="37" t="s">
        <v>72</v>
      </c>
      <c r="D28" s="30" t="s">
        <v>56</v>
      </c>
      <c r="E28" s="38">
        <v>66245</v>
      </c>
      <c r="F28" s="39">
        <f>E28</f>
        <v>66245</v>
      </c>
      <c r="G28" s="64">
        <v>6.12</v>
      </c>
      <c r="H28" s="33">
        <f t="shared" si="3"/>
        <v>7</v>
      </c>
      <c r="I28" s="135">
        <f t="shared" si="0"/>
        <v>463715</v>
      </c>
      <c r="J28" s="136"/>
      <c r="K28" s="33"/>
      <c r="M28" s="138"/>
      <c r="N28" s="139"/>
      <c r="P28" s="128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2"/>
      <c r="AP28" s="137">
        <f t="shared" si="4"/>
        <v>0</v>
      </c>
    </row>
    <row r="29" spans="1:42" s="137" customFormat="1" ht="23.25" customHeight="1">
      <c r="A29" s="123">
        <f t="shared" si="1"/>
        <v>11</v>
      </c>
      <c r="B29" s="28" t="s">
        <v>41</v>
      </c>
      <c r="C29" s="37" t="s">
        <v>46</v>
      </c>
      <c r="D29" s="30" t="s">
        <v>10</v>
      </c>
      <c r="E29" s="38">
        <f t="shared" si="2"/>
        <v>108959</v>
      </c>
      <c r="F29" s="39">
        <f aca="true" t="shared" si="5" ref="F29:F89">E29</f>
        <v>108959</v>
      </c>
      <c r="G29" s="64">
        <v>6.77</v>
      </c>
      <c r="H29" s="33">
        <f t="shared" si="3"/>
        <v>7</v>
      </c>
      <c r="I29" s="135">
        <f t="shared" si="0"/>
        <v>762713</v>
      </c>
      <c r="J29" s="136"/>
      <c r="K29" s="33"/>
      <c r="M29" s="138"/>
      <c r="N29" s="139"/>
      <c r="P29" s="128"/>
      <c r="Q29" s="141">
        <v>1372.13</v>
      </c>
      <c r="R29" s="141">
        <f>1406.86+2399.89</f>
        <v>3806.75</v>
      </c>
      <c r="S29" s="141">
        <f>3202.18+2383.06</f>
        <v>5585.24</v>
      </c>
      <c r="T29" s="141">
        <v>6221.12</v>
      </c>
      <c r="U29" s="141">
        <f>2389.85+2379.04</f>
        <v>4768.889999999999</v>
      </c>
      <c r="V29" s="141">
        <f>2377.44+2391.38</f>
        <v>4768.82</v>
      </c>
      <c r="W29" s="141">
        <f>2381.03+2672.92</f>
        <v>5053.950000000001</v>
      </c>
      <c r="X29" s="141">
        <v>6725.52</v>
      </c>
      <c r="Y29" s="141">
        <v>8408.95</v>
      </c>
      <c r="Z29" s="141">
        <f>2663.23+2400.9</f>
        <v>5064.13</v>
      </c>
      <c r="AA29" s="141">
        <f>2984.3+2391.3</f>
        <v>5375.6</v>
      </c>
      <c r="AB29" s="141">
        <f>2378.41+2390.98</f>
        <v>4769.389999999999</v>
      </c>
      <c r="AC29" s="141">
        <f>3547.15+2387.14</f>
        <v>5934.29</v>
      </c>
      <c r="AD29" s="141">
        <v>8182.2</v>
      </c>
      <c r="AE29" s="141">
        <v>6246.3</v>
      </c>
      <c r="AF29" s="141">
        <f>2501.52+4068.36</f>
        <v>6569.88</v>
      </c>
      <c r="AG29" s="141">
        <v>8701.4</v>
      </c>
      <c r="AH29" s="141">
        <f>3554.98+2793.58</f>
        <v>6348.5599999999995</v>
      </c>
      <c r="AI29" s="141">
        <f>564.46+1147.26+644.77</f>
        <v>2356.49</v>
      </c>
      <c r="AJ29" s="141">
        <v>23.27</v>
      </c>
      <c r="AK29" s="141">
        <v>0</v>
      </c>
      <c r="AL29" s="141">
        <v>1633.06</v>
      </c>
      <c r="AM29" s="141">
        <f>490.21+552.04</f>
        <v>1042.25</v>
      </c>
      <c r="AN29" s="141">
        <v>0</v>
      </c>
      <c r="AO29" s="142"/>
      <c r="AP29" s="137">
        <f t="shared" si="4"/>
        <v>108958.18999999999</v>
      </c>
    </row>
    <row r="30" spans="1:42" s="137" customFormat="1" ht="23.25" customHeight="1">
      <c r="A30" s="123">
        <f t="shared" si="1"/>
        <v>12</v>
      </c>
      <c r="B30" s="28" t="s">
        <v>91</v>
      </c>
      <c r="C30" s="37" t="s">
        <v>548</v>
      </c>
      <c r="D30" s="30" t="s">
        <v>10</v>
      </c>
      <c r="E30" s="38">
        <f>ROUNDUP(AP30,0)</f>
        <v>1018</v>
      </c>
      <c r="F30" s="39">
        <f>E30</f>
        <v>1018</v>
      </c>
      <c r="G30" s="64">
        <v>25.9</v>
      </c>
      <c r="H30" s="33">
        <f t="shared" si="3"/>
        <v>26</v>
      </c>
      <c r="I30" s="135">
        <f>ROUNDUP(F30*H30,0)</f>
        <v>26468</v>
      </c>
      <c r="J30" s="136"/>
      <c r="K30" s="33"/>
      <c r="M30" s="138"/>
      <c r="N30" s="139"/>
      <c r="P30" s="128"/>
      <c r="Q30" s="157">
        <f>((399.75+277.49)*3)/9</f>
        <v>225.74666666666667</v>
      </c>
      <c r="R30" s="157">
        <f>((186.82+185.59+163.21+376.25)*3)/9</f>
        <v>303.9566666666667</v>
      </c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>
        <f>((1058.33+104.02+95.44)*3)/9</f>
        <v>419.2633333333333</v>
      </c>
      <c r="AJ30" s="141">
        <f>((102.59+102.59)*3)/9</f>
        <v>68.39333333333333</v>
      </c>
      <c r="AK30" s="141"/>
      <c r="AL30" s="141"/>
      <c r="AM30" s="141"/>
      <c r="AN30" s="141"/>
      <c r="AO30" s="142"/>
      <c r="AP30" s="137">
        <f>SUM(Q30:AN30)</f>
        <v>1017.36</v>
      </c>
    </row>
    <row r="31" spans="1:42" s="137" customFormat="1" ht="23.25" customHeight="1">
      <c r="A31" s="123">
        <f t="shared" si="1"/>
        <v>13</v>
      </c>
      <c r="B31" s="28" t="s">
        <v>92</v>
      </c>
      <c r="C31" s="37" t="s">
        <v>90</v>
      </c>
      <c r="D31" s="30" t="s">
        <v>10</v>
      </c>
      <c r="E31" s="38">
        <f t="shared" si="2"/>
        <v>88614</v>
      </c>
      <c r="F31" s="39">
        <f t="shared" si="5"/>
        <v>88614</v>
      </c>
      <c r="G31" s="64">
        <v>18.04</v>
      </c>
      <c r="H31" s="33">
        <f t="shared" si="3"/>
        <v>19</v>
      </c>
      <c r="I31" s="135">
        <f t="shared" si="0"/>
        <v>1683666</v>
      </c>
      <c r="J31" s="136"/>
      <c r="K31" s="33"/>
      <c r="M31" s="138"/>
      <c r="N31" s="139"/>
      <c r="O31" s="156"/>
      <c r="P31" s="128"/>
      <c r="Q31" s="141">
        <v>0</v>
      </c>
      <c r="R31" s="141">
        <v>0</v>
      </c>
      <c r="S31" s="141">
        <f>1763.35+1263.4</f>
        <v>3026.75</v>
      </c>
      <c r="T31" s="141">
        <v>5437.48</v>
      </c>
      <c r="U31" s="141">
        <f>2023.87+2014.29</f>
        <v>4038.16</v>
      </c>
      <c r="V31" s="141">
        <f>2013.34+2025.16</f>
        <v>4038.5</v>
      </c>
      <c r="W31" s="141">
        <f>2016.33+2306.9</f>
        <v>4323.23</v>
      </c>
      <c r="X31" s="141">
        <v>5965.96</v>
      </c>
      <c r="Y31" s="141">
        <v>7634.84</v>
      </c>
      <c r="Z31" s="141">
        <f>2298.91+2033.29</f>
        <v>4332.2</v>
      </c>
      <c r="AA31" s="141">
        <f>2531.98+2025.01</f>
        <v>4556.99</v>
      </c>
      <c r="AB31" s="141">
        <f>2024.79+2015.54</f>
        <v>4040.33</v>
      </c>
      <c r="AC31" s="141">
        <f>2021.51+3168.4</f>
        <v>5189.91</v>
      </c>
      <c r="AD31" s="141">
        <v>7441.43</v>
      </c>
      <c r="AE31" s="141">
        <v>5528.23</v>
      </c>
      <c r="AF31" s="141">
        <f>2138.11+3641.02</f>
        <v>5779.13</v>
      </c>
      <c r="AG31" s="141">
        <v>7885.14</v>
      </c>
      <c r="AH31" s="141">
        <f>3191.59+2402.31</f>
        <v>5593.9</v>
      </c>
      <c r="AI31" s="141">
        <f>408+794+473.09</f>
        <v>1675.09</v>
      </c>
      <c r="AJ31" s="141">
        <v>17.06</v>
      </c>
      <c r="AK31" s="141">
        <v>0</v>
      </c>
      <c r="AL31" s="141">
        <v>1319.06</v>
      </c>
      <c r="AM31" s="141">
        <f>356.16+434.17</f>
        <v>790.33</v>
      </c>
      <c r="AN31" s="141">
        <v>0</v>
      </c>
      <c r="AO31" s="142">
        <v>0</v>
      </c>
      <c r="AP31" s="137">
        <f>SUM(Q31:AO31)</f>
        <v>88613.71999999999</v>
      </c>
    </row>
    <row r="32" spans="1:42" s="137" customFormat="1" ht="23.25" customHeight="1">
      <c r="A32" s="123">
        <f t="shared" si="1"/>
        <v>14</v>
      </c>
      <c r="B32" s="28" t="s">
        <v>364</v>
      </c>
      <c r="C32" s="37" t="s">
        <v>365</v>
      </c>
      <c r="D32" s="30" t="s">
        <v>10</v>
      </c>
      <c r="E32" s="38">
        <f t="shared" si="2"/>
        <v>6286</v>
      </c>
      <c r="F32" s="39">
        <f t="shared" si="5"/>
        <v>6286</v>
      </c>
      <c r="G32" s="64">
        <v>60.25</v>
      </c>
      <c r="H32" s="33">
        <f t="shared" si="3"/>
        <v>61</v>
      </c>
      <c r="I32" s="135">
        <f t="shared" si="0"/>
        <v>383446</v>
      </c>
      <c r="J32" s="136"/>
      <c r="K32" s="33"/>
      <c r="M32" s="138"/>
      <c r="N32" s="139"/>
      <c r="O32" s="156"/>
      <c r="P32" s="128"/>
      <c r="Q32" s="141">
        <v>1109.35</v>
      </c>
      <c r="R32" s="141">
        <f>1241.56+2128.54</f>
        <v>3370.1</v>
      </c>
      <c r="S32" s="141">
        <f>1073.35+733.1</f>
        <v>1806.4499999999998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2"/>
      <c r="AP32" s="137">
        <f t="shared" si="4"/>
        <v>6285.9</v>
      </c>
    </row>
    <row r="33" spans="1:42" s="137" customFormat="1" ht="23.25" customHeight="1">
      <c r="A33" s="123">
        <f t="shared" si="1"/>
        <v>15</v>
      </c>
      <c r="B33" s="28" t="s">
        <v>492</v>
      </c>
      <c r="C33" s="37" t="s">
        <v>493</v>
      </c>
      <c r="D33" s="30" t="s">
        <v>10</v>
      </c>
      <c r="E33" s="38">
        <f t="shared" si="2"/>
        <v>2494</v>
      </c>
      <c r="F33" s="39">
        <f t="shared" si="5"/>
        <v>2494</v>
      </c>
      <c r="G33" s="64">
        <v>4.63</v>
      </c>
      <c r="H33" s="33">
        <f t="shared" si="3"/>
        <v>5</v>
      </c>
      <c r="I33" s="135">
        <f t="shared" si="0"/>
        <v>12470</v>
      </c>
      <c r="J33" s="136"/>
      <c r="K33" s="33"/>
      <c r="M33" s="138"/>
      <c r="N33" s="139"/>
      <c r="O33" s="156"/>
      <c r="P33" s="128"/>
      <c r="Q33" s="141">
        <v>0</v>
      </c>
      <c r="R33" s="141">
        <v>2493.13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2">
        <v>0</v>
      </c>
      <c r="AP33" s="137">
        <f>SUM(Q33:AO33)</f>
        <v>2493.13</v>
      </c>
    </row>
    <row r="34" spans="1:42" s="137" customFormat="1" ht="23.25" customHeight="1">
      <c r="A34" s="123">
        <f t="shared" si="1"/>
        <v>16</v>
      </c>
      <c r="B34" s="28" t="s">
        <v>99</v>
      </c>
      <c r="C34" s="37" t="s">
        <v>442</v>
      </c>
      <c r="D34" s="30" t="s">
        <v>10</v>
      </c>
      <c r="E34" s="38">
        <f t="shared" si="2"/>
        <v>7965</v>
      </c>
      <c r="F34" s="39">
        <f t="shared" si="5"/>
        <v>7965</v>
      </c>
      <c r="G34" s="64">
        <v>2.95</v>
      </c>
      <c r="H34" s="33">
        <f t="shared" si="3"/>
        <v>3</v>
      </c>
      <c r="I34" s="135">
        <f t="shared" si="0"/>
        <v>23895</v>
      </c>
      <c r="J34" s="136"/>
      <c r="K34" s="33"/>
      <c r="M34" s="138"/>
      <c r="N34" s="139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>
        <f>2614.51+2826.23</f>
        <v>5440.74</v>
      </c>
      <c r="AJ34" s="141"/>
      <c r="AK34" s="141">
        <v>0</v>
      </c>
      <c r="AL34" s="141">
        <v>1246.02</v>
      </c>
      <c r="AM34" s="141">
        <v>1163</v>
      </c>
      <c r="AN34" s="141">
        <v>114.66</v>
      </c>
      <c r="AO34" s="142"/>
      <c r="AP34" s="137">
        <f t="shared" si="4"/>
        <v>7964.42</v>
      </c>
    </row>
    <row r="35" spans="1:42" s="137" customFormat="1" ht="23.25" customHeight="1">
      <c r="A35" s="123">
        <f t="shared" si="1"/>
        <v>17</v>
      </c>
      <c r="B35" s="28" t="s">
        <v>38</v>
      </c>
      <c r="C35" s="37" t="s">
        <v>443</v>
      </c>
      <c r="D35" s="30" t="s">
        <v>27</v>
      </c>
      <c r="E35" s="38">
        <f t="shared" si="2"/>
        <v>15538</v>
      </c>
      <c r="F35" s="65">
        <f t="shared" si="5"/>
        <v>15538</v>
      </c>
      <c r="G35" s="64">
        <v>93.22</v>
      </c>
      <c r="H35" s="33">
        <f t="shared" si="3"/>
        <v>94</v>
      </c>
      <c r="I35" s="135">
        <f t="shared" si="0"/>
        <v>1460572</v>
      </c>
      <c r="J35" s="136"/>
      <c r="K35" s="33"/>
      <c r="M35" s="138"/>
      <c r="N35" s="139"/>
      <c r="P35" s="152" t="s">
        <v>506</v>
      </c>
      <c r="Q35" s="141">
        <v>1104.8</v>
      </c>
      <c r="R35" s="141">
        <f>1236.51+2116.99</f>
        <v>3353.5</v>
      </c>
      <c r="S35" s="141">
        <f>2815.24+1996.5</f>
        <v>4811.74</v>
      </c>
      <c r="T35" s="141">
        <v>5409</v>
      </c>
      <c r="U35" s="141">
        <f>2002.3+1993.25</f>
        <v>3995.55</v>
      </c>
      <c r="V35" s="141">
        <f>1991.96+2003.59</f>
        <v>3995.55</v>
      </c>
      <c r="W35" s="141">
        <f>1994.87+2285.37</f>
        <v>4280.24</v>
      </c>
      <c r="X35" s="141">
        <v>5940.01</v>
      </c>
      <c r="Y35" s="141">
        <v>7593.74</v>
      </c>
      <c r="Z35" s="141">
        <f>2277.55+2011.57</f>
        <v>4289.12</v>
      </c>
      <c r="AA35" s="141">
        <f>2499.39+2003.53</f>
        <v>4502.92</v>
      </c>
      <c r="AB35" s="141">
        <f>2003.3+1992.61</f>
        <v>3995.91</v>
      </c>
      <c r="AC35" s="141">
        <f>2000.07+3158.77</f>
        <v>5158.84</v>
      </c>
      <c r="AD35" s="141">
        <v>7392.24</v>
      </c>
      <c r="AE35" s="141">
        <v>5510.85</v>
      </c>
      <c r="AF35" s="141">
        <f>2116.81+3622.26</f>
        <v>5739.07</v>
      </c>
      <c r="AG35" s="141">
        <v>7836.32</v>
      </c>
      <c r="AH35" s="141">
        <f>3170.01+2376.19</f>
        <v>5546.200000000001</v>
      </c>
      <c r="AI35" s="141">
        <f>388.37+794+451.55</f>
        <v>1633.9199999999998</v>
      </c>
      <c r="AJ35" s="141">
        <v>16.28</v>
      </c>
      <c r="AK35" s="141">
        <v>0</v>
      </c>
      <c r="AL35" s="141">
        <v>1279.82</v>
      </c>
      <c r="AM35" s="141">
        <f>345.35+434.17</f>
        <v>779.52</v>
      </c>
      <c r="AN35" s="141">
        <v>0</v>
      </c>
      <c r="AO35" s="142"/>
      <c r="AP35" s="137">
        <f>(SUM(Q35:AO35)*330)/2000</f>
        <v>15537.248100000004</v>
      </c>
    </row>
    <row r="36" spans="1:42" s="137" customFormat="1" ht="23.25" customHeight="1">
      <c r="A36" s="123">
        <f t="shared" si="1"/>
        <v>18</v>
      </c>
      <c r="B36" s="28" t="s">
        <v>494</v>
      </c>
      <c r="C36" s="37" t="s">
        <v>495</v>
      </c>
      <c r="D36" s="30" t="s">
        <v>27</v>
      </c>
      <c r="E36" s="38">
        <f t="shared" si="2"/>
        <v>100</v>
      </c>
      <c r="F36" s="65">
        <f t="shared" si="5"/>
        <v>100</v>
      </c>
      <c r="G36" s="64">
        <v>161.57</v>
      </c>
      <c r="H36" s="33">
        <f t="shared" si="3"/>
        <v>162</v>
      </c>
      <c r="I36" s="135">
        <f t="shared" si="0"/>
        <v>16200</v>
      </c>
      <c r="J36" s="136"/>
      <c r="K36" s="33"/>
      <c r="M36" s="138"/>
      <c r="N36" s="139"/>
      <c r="Q36" s="141"/>
      <c r="R36" s="141">
        <v>2493.13</v>
      </c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2"/>
      <c r="AP36" s="137">
        <f>(SUM(Q36:AO36)*80)/2000</f>
        <v>99.72520000000002</v>
      </c>
    </row>
    <row r="37" spans="1:42" s="137" customFormat="1" ht="23.25" customHeight="1">
      <c r="A37" s="123">
        <f t="shared" si="1"/>
        <v>19</v>
      </c>
      <c r="B37" s="28" t="s">
        <v>366</v>
      </c>
      <c r="C37" s="37" t="s">
        <v>444</v>
      </c>
      <c r="D37" s="30" t="s">
        <v>27</v>
      </c>
      <c r="E37" s="38">
        <f t="shared" si="2"/>
        <v>934</v>
      </c>
      <c r="F37" s="65">
        <f t="shared" si="5"/>
        <v>934</v>
      </c>
      <c r="G37" s="64">
        <v>173.86</v>
      </c>
      <c r="H37" s="33">
        <f t="shared" si="3"/>
        <v>174</v>
      </c>
      <c r="I37" s="135">
        <f t="shared" si="0"/>
        <v>162516</v>
      </c>
      <c r="J37" s="136"/>
      <c r="K37" s="33"/>
      <c r="M37" s="138"/>
      <c r="N37" s="139"/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f>592.16+697.56</f>
        <v>1289.7199999999998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f>2614.51+2826.23</f>
        <v>5440.74</v>
      </c>
      <c r="AJ37" s="141">
        <v>0</v>
      </c>
      <c r="AK37" s="141"/>
      <c r="AL37" s="141">
        <f>1246.02+1279.82</f>
        <v>2525.84</v>
      </c>
      <c r="AM37" s="141">
        <f>345.35+1163+434.17</f>
        <v>1942.52</v>
      </c>
      <c r="AN37" s="141">
        <v>114.66</v>
      </c>
      <c r="AO37" s="142"/>
      <c r="AP37" s="137">
        <f>(SUM(Q37:AO37)*165)/2000</f>
        <v>933.3620999999999</v>
      </c>
    </row>
    <row r="38" spans="1:42" s="137" customFormat="1" ht="22.5" customHeight="1">
      <c r="A38" s="123">
        <f t="shared" si="1"/>
        <v>20</v>
      </c>
      <c r="B38" s="28" t="s">
        <v>101</v>
      </c>
      <c r="C38" s="29" t="s">
        <v>445</v>
      </c>
      <c r="D38" s="30" t="s">
        <v>27</v>
      </c>
      <c r="E38" s="38">
        <f t="shared" si="2"/>
        <v>7493</v>
      </c>
      <c r="F38" s="65">
        <f t="shared" si="5"/>
        <v>7493</v>
      </c>
      <c r="G38" s="64">
        <v>151.6</v>
      </c>
      <c r="H38" s="33">
        <f t="shared" si="3"/>
        <v>152</v>
      </c>
      <c r="I38" s="135">
        <f t="shared" si="0"/>
        <v>1138936</v>
      </c>
      <c r="J38" s="136"/>
      <c r="K38" s="33"/>
      <c r="M38" s="138"/>
      <c r="N38" s="139"/>
      <c r="O38" s="128"/>
      <c r="P38" s="128"/>
      <c r="Q38" s="141">
        <v>1104.8</v>
      </c>
      <c r="R38" s="141">
        <f>1236.51+2116.99</f>
        <v>3353.5</v>
      </c>
      <c r="S38" s="141">
        <f>2815.24+1996.5</f>
        <v>4811.74</v>
      </c>
      <c r="T38" s="141">
        <v>5409</v>
      </c>
      <c r="U38" s="141">
        <f>2002.3+1993.25</f>
        <v>3995.55</v>
      </c>
      <c r="V38" s="141">
        <f>1991.96+2003.59</f>
        <v>3995.55</v>
      </c>
      <c r="W38" s="141">
        <f>1994.87+2285.37</f>
        <v>4280.24</v>
      </c>
      <c r="X38" s="141">
        <v>5940.01</v>
      </c>
      <c r="Y38" s="141">
        <v>6304.02</v>
      </c>
      <c r="Z38" s="141">
        <f>2277.55+2011.57</f>
        <v>4289.12</v>
      </c>
      <c r="AA38" s="141">
        <f>2499.39+2003.53</f>
        <v>4502.92</v>
      </c>
      <c r="AB38" s="141">
        <f>2003.3+1992.61</f>
        <v>3995.91</v>
      </c>
      <c r="AC38" s="141">
        <f>2000.07+3158.77</f>
        <v>5158.84</v>
      </c>
      <c r="AD38" s="141">
        <v>7392.24</v>
      </c>
      <c r="AE38" s="141">
        <v>5510.85</v>
      </c>
      <c r="AF38" s="141">
        <f>2116.81+3622.26</f>
        <v>5739.07</v>
      </c>
      <c r="AG38" s="141">
        <v>7836.32</v>
      </c>
      <c r="AH38" s="141">
        <f>3170.01+2376.19</f>
        <v>5546.200000000001</v>
      </c>
      <c r="AI38" s="141">
        <f>388.37+794+451.55</f>
        <v>1633.9199999999998</v>
      </c>
      <c r="AJ38" s="141">
        <v>16.28</v>
      </c>
      <c r="AK38" s="141">
        <v>0</v>
      </c>
      <c r="AL38" s="141">
        <v>0</v>
      </c>
      <c r="AM38" s="141">
        <v>0</v>
      </c>
      <c r="AN38" s="141">
        <v>0</v>
      </c>
      <c r="AO38" s="142">
        <v>0</v>
      </c>
      <c r="AP38" s="137">
        <f>(SUM(Q38:AN38)*165)/2000</f>
        <v>7492.3265999999985</v>
      </c>
    </row>
    <row r="39" spans="1:41" s="137" customFormat="1" ht="22.5" customHeight="1">
      <c r="A39" s="123">
        <f t="shared" si="1"/>
        <v>21</v>
      </c>
      <c r="B39" s="28" t="s">
        <v>103</v>
      </c>
      <c r="C39" s="29" t="s">
        <v>104</v>
      </c>
      <c r="D39" s="30" t="s">
        <v>27</v>
      </c>
      <c r="E39" s="66">
        <v>5.6</v>
      </c>
      <c r="F39" s="65">
        <f>E39</f>
        <v>5.6</v>
      </c>
      <c r="G39" s="64">
        <v>210.68</v>
      </c>
      <c r="H39" s="33">
        <f>_xlfn.CEILING.MATH(G39*(1+$K$9),1)</f>
        <v>211</v>
      </c>
      <c r="I39" s="135">
        <f>ROUNDUP(F39*H39,0)</f>
        <v>1182</v>
      </c>
      <c r="J39" s="136"/>
      <c r="K39" s="33"/>
      <c r="M39" s="138"/>
      <c r="N39" s="139"/>
      <c r="O39" s="128"/>
      <c r="P39" s="128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2"/>
    </row>
    <row r="40" spans="1:42" s="137" customFormat="1" ht="22.5" customHeight="1">
      <c r="A40" s="123">
        <f t="shared" si="1"/>
        <v>22</v>
      </c>
      <c r="B40" s="28" t="s">
        <v>367</v>
      </c>
      <c r="C40" s="29" t="s">
        <v>368</v>
      </c>
      <c r="D40" s="30" t="s">
        <v>12</v>
      </c>
      <c r="E40" s="38">
        <f t="shared" si="2"/>
        <v>2</v>
      </c>
      <c r="F40" s="39">
        <f t="shared" si="5"/>
        <v>2</v>
      </c>
      <c r="G40" s="64">
        <v>13333.33</v>
      </c>
      <c r="H40" s="33">
        <f t="shared" si="3"/>
        <v>13334</v>
      </c>
      <c r="I40" s="135">
        <f t="shared" si="0"/>
        <v>26668</v>
      </c>
      <c r="J40" s="136"/>
      <c r="K40" s="33"/>
      <c r="M40" s="138"/>
      <c r="N40" s="139"/>
      <c r="O40" s="128"/>
      <c r="P40" s="128"/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v>0</v>
      </c>
      <c r="AH40" s="141">
        <v>0</v>
      </c>
      <c r="AI40" s="141">
        <v>0</v>
      </c>
      <c r="AJ40" s="141">
        <v>0</v>
      </c>
      <c r="AK40" s="141"/>
      <c r="AL40" s="141">
        <v>0</v>
      </c>
      <c r="AM40" s="141">
        <v>2</v>
      </c>
      <c r="AN40" s="141">
        <v>0</v>
      </c>
      <c r="AO40" s="142"/>
      <c r="AP40" s="137">
        <f>SUM(Q40:AO40)</f>
        <v>2</v>
      </c>
    </row>
    <row r="41" spans="1:42" s="137" customFormat="1" ht="22.5" customHeight="1">
      <c r="A41" s="123">
        <f t="shared" si="1"/>
        <v>23</v>
      </c>
      <c r="B41" s="28" t="s">
        <v>178</v>
      </c>
      <c r="C41" s="29" t="s">
        <v>107</v>
      </c>
      <c r="D41" s="30" t="s">
        <v>12</v>
      </c>
      <c r="E41" s="38">
        <f t="shared" si="2"/>
        <v>5</v>
      </c>
      <c r="F41" s="39">
        <f t="shared" si="5"/>
        <v>5</v>
      </c>
      <c r="G41" s="64">
        <v>5872.89</v>
      </c>
      <c r="H41" s="33">
        <f t="shared" si="3"/>
        <v>5873</v>
      </c>
      <c r="I41" s="135">
        <f t="shared" si="0"/>
        <v>29365</v>
      </c>
      <c r="J41" s="136"/>
      <c r="K41" s="33"/>
      <c r="M41" s="138"/>
      <c r="N41" s="139"/>
      <c r="O41" s="128"/>
      <c r="P41" s="128"/>
      <c r="Q41" s="141">
        <v>2</v>
      </c>
      <c r="R41" s="141">
        <v>0</v>
      </c>
      <c r="S41" s="141">
        <v>0</v>
      </c>
      <c r="T41" s="141">
        <v>2</v>
      </c>
      <c r="U41" s="141">
        <v>0</v>
      </c>
      <c r="V41" s="141">
        <v>0</v>
      </c>
      <c r="W41" s="141">
        <v>0</v>
      </c>
      <c r="X41" s="141">
        <v>1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/>
      <c r="AL41" s="141">
        <v>0</v>
      </c>
      <c r="AM41" s="141">
        <v>0</v>
      </c>
      <c r="AN41" s="141">
        <v>0</v>
      </c>
      <c r="AO41" s="142"/>
      <c r="AP41" s="137">
        <f aca="true" t="shared" si="6" ref="AP41:AP90">SUM(Q41:AO41)</f>
        <v>5</v>
      </c>
    </row>
    <row r="42" spans="1:42" s="137" customFormat="1" ht="22.5" customHeight="1">
      <c r="A42" s="123">
        <f t="shared" si="1"/>
        <v>24</v>
      </c>
      <c r="B42" s="28" t="s">
        <v>180</v>
      </c>
      <c r="C42" s="29" t="s">
        <v>109</v>
      </c>
      <c r="D42" s="30" t="s">
        <v>12</v>
      </c>
      <c r="E42" s="38">
        <f t="shared" si="2"/>
        <v>7</v>
      </c>
      <c r="F42" s="39">
        <f t="shared" si="5"/>
        <v>7</v>
      </c>
      <c r="G42" s="64">
        <v>14252.57</v>
      </c>
      <c r="H42" s="33">
        <f t="shared" si="3"/>
        <v>14253</v>
      </c>
      <c r="I42" s="135">
        <f t="shared" si="0"/>
        <v>99771</v>
      </c>
      <c r="J42" s="136"/>
      <c r="K42" s="33"/>
      <c r="M42" s="138"/>
      <c r="N42" s="139"/>
      <c r="O42" s="128"/>
      <c r="P42" s="128"/>
      <c r="Q42" s="141">
        <v>0</v>
      </c>
      <c r="R42" s="141">
        <v>1</v>
      </c>
      <c r="S42" s="141">
        <v>2</v>
      </c>
      <c r="T42" s="141">
        <v>2</v>
      </c>
      <c r="U42" s="141">
        <v>0</v>
      </c>
      <c r="V42" s="141">
        <v>0</v>
      </c>
      <c r="W42" s="141">
        <v>0</v>
      </c>
      <c r="X42" s="141">
        <v>1</v>
      </c>
      <c r="Y42" s="141">
        <v>0</v>
      </c>
      <c r="Z42" s="141">
        <v>0</v>
      </c>
      <c r="AA42" s="141">
        <v>0</v>
      </c>
      <c r="AB42" s="141">
        <v>0</v>
      </c>
      <c r="AC42" s="141">
        <v>0</v>
      </c>
      <c r="AD42" s="141">
        <v>0</v>
      </c>
      <c r="AE42" s="141">
        <v>1</v>
      </c>
      <c r="AF42" s="141">
        <v>0</v>
      </c>
      <c r="AG42" s="141">
        <v>0</v>
      </c>
      <c r="AH42" s="141">
        <v>0</v>
      </c>
      <c r="AI42" s="141">
        <v>0</v>
      </c>
      <c r="AJ42" s="141">
        <v>0</v>
      </c>
      <c r="AK42" s="141"/>
      <c r="AL42" s="141">
        <v>0</v>
      </c>
      <c r="AM42" s="141">
        <v>0</v>
      </c>
      <c r="AN42" s="141">
        <v>0</v>
      </c>
      <c r="AO42" s="142"/>
      <c r="AP42" s="137">
        <f t="shared" si="6"/>
        <v>7</v>
      </c>
    </row>
    <row r="43" spans="1:42" s="137" customFormat="1" ht="22.5" customHeight="1">
      <c r="A43" s="123">
        <f t="shared" si="1"/>
        <v>25</v>
      </c>
      <c r="B43" s="28" t="s">
        <v>181</v>
      </c>
      <c r="C43" s="29" t="s">
        <v>110</v>
      </c>
      <c r="D43" s="30" t="s">
        <v>12</v>
      </c>
      <c r="E43" s="38">
        <f t="shared" si="2"/>
        <v>1</v>
      </c>
      <c r="F43" s="39">
        <f t="shared" si="5"/>
        <v>1</v>
      </c>
      <c r="G43" s="64">
        <v>13496.12</v>
      </c>
      <c r="H43" s="33">
        <f t="shared" si="3"/>
        <v>13497</v>
      </c>
      <c r="I43" s="135">
        <f t="shared" si="0"/>
        <v>13497</v>
      </c>
      <c r="J43" s="136"/>
      <c r="K43" s="33"/>
      <c r="M43" s="138"/>
      <c r="N43" s="139"/>
      <c r="O43" s="128"/>
      <c r="P43" s="128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>
        <v>1</v>
      </c>
      <c r="AF43" s="141"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v>0</v>
      </c>
      <c r="AO43" s="142"/>
      <c r="AP43" s="137">
        <f t="shared" si="6"/>
        <v>1</v>
      </c>
    </row>
    <row r="44" spans="1:42" s="137" customFormat="1" ht="22.5" customHeight="1">
      <c r="A44" s="123">
        <f t="shared" si="1"/>
        <v>26</v>
      </c>
      <c r="B44" s="28" t="s">
        <v>182</v>
      </c>
      <c r="C44" s="29" t="s">
        <v>446</v>
      </c>
      <c r="D44" s="30" t="s">
        <v>12</v>
      </c>
      <c r="E44" s="38">
        <f t="shared" si="2"/>
        <v>1</v>
      </c>
      <c r="F44" s="39">
        <f t="shared" si="5"/>
        <v>1</v>
      </c>
      <c r="G44" s="64">
        <v>4378.26</v>
      </c>
      <c r="H44" s="33">
        <f t="shared" si="3"/>
        <v>4379</v>
      </c>
      <c r="I44" s="135">
        <f t="shared" si="0"/>
        <v>4379</v>
      </c>
      <c r="J44" s="136"/>
      <c r="K44" s="33"/>
      <c r="M44" s="138"/>
      <c r="N44" s="139"/>
      <c r="O44" s="128"/>
      <c r="P44" s="128"/>
      <c r="Q44" s="141">
        <v>0</v>
      </c>
      <c r="R44" s="141">
        <v>0</v>
      </c>
      <c r="S44" s="141">
        <v>1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141">
        <v>0</v>
      </c>
      <c r="AE44" s="141">
        <v>0</v>
      </c>
      <c r="AF44" s="141">
        <v>0</v>
      </c>
      <c r="AG44" s="141">
        <v>0</v>
      </c>
      <c r="AH44" s="141">
        <v>0</v>
      </c>
      <c r="AI44" s="141">
        <v>0</v>
      </c>
      <c r="AJ44" s="141">
        <v>0</v>
      </c>
      <c r="AK44" s="141"/>
      <c r="AL44" s="141">
        <v>0</v>
      </c>
      <c r="AM44" s="141">
        <v>0</v>
      </c>
      <c r="AN44" s="141">
        <v>0</v>
      </c>
      <c r="AO44" s="142"/>
      <c r="AP44" s="137">
        <f t="shared" si="6"/>
        <v>1</v>
      </c>
    </row>
    <row r="45" spans="1:42" s="137" customFormat="1" ht="23.25" customHeight="1">
      <c r="A45" s="123">
        <f t="shared" si="1"/>
        <v>27</v>
      </c>
      <c r="B45" s="28" t="s">
        <v>183</v>
      </c>
      <c r="C45" s="37" t="s">
        <v>447</v>
      </c>
      <c r="D45" s="30" t="s">
        <v>12</v>
      </c>
      <c r="E45" s="38">
        <f t="shared" si="2"/>
        <v>52</v>
      </c>
      <c r="F45" s="39">
        <f t="shared" si="5"/>
        <v>52</v>
      </c>
      <c r="G45" s="64">
        <v>10040.18</v>
      </c>
      <c r="H45" s="33">
        <f t="shared" si="3"/>
        <v>10041</v>
      </c>
      <c r="I45" s="135">
        <f t="shared" si="0"/>
        <v>522132</v>
      </c>
      <c r="J45" s="136"/>
      <c r="K45" s="33"/>
      <c r="M45" s="138"/>
      <c r="N45" s="139"/>
      <c r="O45" s="156"/>
      <c r="P45" s="128"/>
      <c r="Q45" s="141">
        <v>0</v>
      </c>
      <c r="R45" s="141">
        <v>1</v>
      </c>
      <c r="S45" s="141">
        <v>3</v>
      </c>
      <c r="T45" s="141">
        <v>4</v>
      </c>
      <c r="U45" s="141">
        <v>4</v>
      </c>
      <c r="V45" s="141">
        <v>6</v>
      </c>
      <c r="W45" s="141">
        <v>7</v>
      </c>
      <c r="X45" s="141">
        <v>2</v>
      </c>
      <c r="Y45" s="141">
        <v>2</v>
      </c>
      <c r="Z45" s="141">
        <v>5</v>
      </c>
      <c r="AA45" s="141">
        <v>4</v>
      </c>
      <c r="AB45" s="141">
        <v>2</v>
      </c>
      <c r="AC45" s="141">
        <v>3</v>
      </c>
      <c r="AD45" s="141">
        <v>4</v>
      </c>
      <c r="AE45" s="141">
        <v>1</v>
      </c>
      <c r="AF45" s="141">
        <v>2</v>
      </c>
      <c r="AG45" s="141">
        <v>2</v>
      </c>
      <c r="AH45" s="141">
        <v>0</v>
      </c>
      <c r="AI45" s="141">
        <v>0</v>
      </c>
      <c r="AJ45" s="141">
        <v>0</v>
      </c>
      <c r="AK45" s="141"/>
      <c r="AL45" s="141">
        <v>0</v>
      </c>
      <c r="AM45" s="141">
        <v>0</v>
      </c>
      <c r="AN45" s="141">
        <v>0</v>
      </c>
      <c r="AO45" s="142"/>
      <c r="AP45" s="137">
        <f t="shared" si="6"/>
        <v>52</v>
      </c>
    </row>
    <row r="46" spans="1:42" s="137" customFormat="1" ht="23.25" customHeight="1">
      <c r="A46" s="123">
        <f t="shared" si="1"/>
        <v>28</v>
      </c>
      <c r="B46" s="28" t="s">
        <v>184</v>
      </c>
      <c r="C46" s="37" t="s">
        <v>448</v>
      </c>
      <c r="D46" s="30" t="s">
        <v>12</v>
      </c>
      <c r="E46" s="38">
        <f t="shared" si="2"/>
        <v>23</v>
      </c>
      <c r="F46" s="39">
        <f t="shared" si="5"/>
        <v>23</v>
      </c>
      <c r="G46" s="64">
        <v>4029.39</v>
      </c>
      <c r="H46" s="33">
        <f t="shared" si="3"/>
        <v>4030</v>
      </c>
      <c r="I46" s="135">
        <f t="shared" si="0"/>
        <v>92690</v>
      </c>
      <c r="J46" s="136"/>
      <c r="K46" s="33"/>
      <c r="M46" s="138"/>
      <c r="N46" s="139"/>
      <c r="O46" s="156"/>
      <c r="P46" s="128"/>
      <c r="Q46" s="141">
        <v>0</v>
      </c>
      <c r="R46" s="141">
        <v>0</v>
      </c>
      <c r="S46" s="141">
        <v>1</v>
      </c>
      <c r="T46" s="141">
        <v>2</v>
      </c>
      <c r="U46" s="141">
        <v>4</v>
      </c>
      <c r="V46" s="141">
        <v>2</v>
      </c>
      <c r="W46" s="141">
        <v>1</v>
      </c>
      <c r="X46" s="141">
        <v>0</v>
      </c>
      <c r="Y46" s="141">
        <v>2</v>
      </c>
      <c r="Z46" s="141">
        <v>4</v>
      </c>
      <c r="AA46" s="141">
        <v>3</v>
      </c>
      <c r="AB46" s="141">
        <v>0</v>
      </c>
      <c r="AC46" s="141">
        <v>0</v>
      </c>
      <c r="AD46" s="141">
        <v>0</v>
      </c>
      <c r="AE46" s="141">
        <v>2</v>
      </c>
      <c r="AF46" s="141">
        <v>1</v>
      </c>
      <c r="AG46" s="141">
        <v>1</v>
      </c>
      <c r="AH46" s="141">
        <v>0</v>
      </c>
      <c r="AI46" s="141">
        <v>0</v>
      </c>
      <c r="AJ46" s="141">
        <v>0</v>
      </c>
      <c r="AK46" s="141"/>
      <c r="AL46" s="141">
        <v>0</v>
      </c>
      <c r="AM46" s="141">
        <v>0</v>
      </c>
      <c r="AN46" s="141">
        <v>0</v>
      </c>
      <c r="AO46" s="142"/>
      <c r="AP46" s="137">
        <f t="shared" si="6"/>
        <v>23</v>
      </c>
    </row>
    <row r="47" spans="1:42" s="137" customFormat="1" ht="23.25" customHeight="1">
      <c r="A47" s="123">
        <f t="shared" si="1"/>
        <v>29</v>
      </c>
      <c r="B47" s="28" t="s">
        <v>186</v>
      </c>
      <c r="C47" s="37" t="s">
        <v>113</v>
      </c>
      <c r="D47" s="30" t="s">
        <v>12</v>
      </c>
      <c r="E47" s="38">
        <f t="shared" si="2"/>
        <v>6</v>
      </c>
      <c r="F47" s="39">
        <f t="shared" si="5"/>
        <v>6</v>
      </c>
      <c r="G47" s="64">
        <v>5319.92</v>
      </c>
      <c r="H47" s="33">
        <f t="shared" si="3"/>
        <v>5320</v>
      </c>
      <c r="I47" s="135">
        <f t="shared" si="0"/>
        <v>31920</v>
      </c>
      <c r="J47" s="136"/>
      <c r="K47" s="33"/>
      <c r="M47" s="138"/>
      <c r="N47" s="139"/>
      <c r="O47" s="156"/>
      <c r="P47" s="128"/>
      <c r="Q47" s="141">
        <v>0</v>
      </c>
      <c r="R47" s="141">
        <v>1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152">
        <v>0</v>
      </c>
      <c r="AB47" s="141">
        <v>0</v>
      </c>
      <c r="AC47" s="141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4</v>
      </c>
      <c r="AJ47" s="141">
        <v>0</v>
      </c>
      <c r="AK47" s="141"/>
      <c r="AL47" s="141">
        <v>0</v>
      </c>
      <c r="AM47" s="141">
        <v>0</v>
      </c>
      <c r="AN47" s="141">
        <v>0</v>
      </c>
      <c r="AO47" s="142">
        <v>1</v>
      </c>
      <c r="AP47" s="137">
        <f t="shared" si="6"/>
        <v>6</v>
      </c>
    </row>
    <row r="48" spans="1:42" s="137" customFormat="1" ht="23.25" customHeight="1">
      <c r="A48" s="123">
        <f t="shared" si="1"/>
        <v>30</v>
      </c>
      <c r="B48" s="28" t="s">
        <v>187</v>
      </c>
      <c r="C48" s="37" t="s">
        <v>449</v>
      </c>
      <c r="D48" s="30" t="s">
        <v>12</v>
      </c>
      <c r="E48" s="38">
        <f t="shared" si="2"/>
        <v>3</v>
      </c>
      <c r="F48" s="39">
        <f t="shared" si="5"/>
        <v>3</v>
      </c>
      <c r="G48" s="64">
        <v>6700</v>
      </c>
      <c r="H48" s="33">
        <f t="shared" si="3"/>
        <v>6700</v>
      </c>
      <c r="I48" s="135">
        <f t="shared" si="0"/>
        <v>20100</v>
      </c>
      <c r="J48" s="136"/>
      <c r="K48" s="33"/>
      <c r="M48" s="138"/>
      <c r="N48" s="139"/>
      <c r="O48" s="156"/>
      <c r="P48" s="128"/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2</v>
      </c>
      <c r="AC48" s="141">
        <v>0</v>
      </c>
      <c r="AD48" s="141">
        <v>0</v>
      </c>
      <c r="AE48" s="141">
        <v>1</v>
      </c>
      <c r="AF48" s="141">
        <v>0</v>
      </c>
      <c r="AG48" s="141">
        <v>0</v>
      </c>
      <c r="AH48" s="141">
        <v>0</v>
      </c>
      <c r="AI48" s="141">
        <v>0</v>
      </c>
      <c r="AJ48" s="141">
        <v>0</v>
      </c>
      <c r="AK48" s="141"/>
      <c r="AL48" s="141">
        <v>0</v>
      </c>
      <c r="AM48" s="141">
        <v>0</v>
      </c>
      <c r="AN48" s="141">
        <v>0</v>
      </c>
      <c r="AO48" s="142"/>
      <c r="AP48" s="137">
        <f t="shared" si="6"/>
        <v>3</v>
      </c>
    </row>
    <row r="49" spans="1:42" s="137" customFormat="1" ht="23.25" customHeight="1">
      <c r="A49" s="123">
        <f t="shared" si="1"/>
        <v>31</v>
      </c>
      <c r="B49" s="28" t="s">
        <v>546</v>
      </c>
      <c r="C49" s="37" t="s">
        <v>547</v>
      </c>
      <c r="D49" s="30" t="s">
        <v>12</v>
      </c>
      <c r="E49" s="38">
        <f>ROUNDUP(AP49,0)</f>
        <v>1</v>
      </c>
      <c r="F49" s="39">
        <f>E49</f>
        <v>1</v>
      </c>
      <c r="G49" s="64">
        <v>12280</v>
      </c>
      <c r="H49" s="33">
        <f t="shared" si="3"/>
        <v>12280</v>
      </c>
      <c r="I49" s="135">
        <f t="shared" si="0"/>
        <v>12280</v>
      </c>
      <c r="J49" s="136"/>
      <c r="K49" s="33"/>
      <c r="M49" s="138"/>
      <c r="N49" s="139"/>
      <c r="O49" s="156"/>
      <c r="P49" s="128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2">
        <v>1</v>
      </c>
      <c r="AP49" s="137">
        <f t="shared" si="6"/>
        <v>1</v>
      </c>
    </row>
    <row r="50" spans="1:42" s="137" customFormat="1" ht="23.25" customHeight="1">
      <c r="A50" s="123">
        <f t="shared" si="1"/>
        <v>32</v>
      </c>
      <c r="B50" s="28" t="s">
        <v>315</v>
      </c>
      <c r="C50" s="37" t="s">
        <v>316</v>
      </c>
      <c r="D50" s="30" t="s">
        <v>12</v>
      </c>
      <c r="E50" s="38">
        <f t="shared" si="2"/>
        <v>7</v>
      </c>
      <c r="F50" s="39">
        <f t="shared" si="5"/>
        <v>7</v>
      </c>
      <c r="G50" s="64">
        <v>13412.83</v>
      </c>
      <c r="H50" s="33">
        <f t="shared" si="3"/>
        <v>13413</v>
      </c>
      <c r="I50" s="135">
        <f t="shared" si="0"/>
        <v>93891</v>
      </c>
      <c r="J50" s="136"/>
      <c r="K50" s="33"/>
      <c r="M50" s="138"/>
      <c r="O50" s="156"/>
      <c r="P50" s="128"/>
      <c r="Q50" s="157">
        <v>0</v>
      </c>
      <c r="R50" s="157">
        <v>1</v>
      </c>
      <c r="S50" s="157">
        <v>1</v>
      </c>
      <c r="T50" s="157">
        <v>1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1</v>
      </c>
      <c r="AB50" s="141">
        <v>0</v>
      </c>
      <c r="AC50" s="141">
        <v>0</v>
      </c>
      <c r="AD50" s="141">
        <v>0</v>
      </c>
      <c r="AE50" s="141">
        <v>0</v>
      </c>
      <c r="AF50" s="141">
        <v>2</v>
      </c>
      <c r="AG50" s="141">
        <v>0</v>
      </c>
      <c r="AH50" s="141">
        <v>1</v>
      </c>
      <c r="AI50" s="141">
        <v>0</v>
      </c>
      <c r="AJ50" s="141">
        <v>0</v>
      </c>
      <c r="AK50" s="141"/>
      <c r="AL50" s="141">
        <v>0</v>
      </c>
      <c r="AM50" s="141">
        <v>0</v>
      </c>
      <c r="AN50" s="141">
        <v>0</v>
      </c>
      <c r="AO50" s="142"/>
      <c r="AP50" s="137">
        <f t="shared" si="6"/>
        <v>7</v>
      </c>
    </row>
    <row r="51" spans="1:42" s="137" customFormat="1" ht="23.25" customHeight="1">
      <c r="A51" s="123">
        <f t="shared" si="1"/>
        <v>33</v>
      </c>
      <c r="B51" s="28" t="s">
        <v>116</v>
      </c>
      <c r="C51" s="37" t="s">
        <v>115</v>
      </c>
      <c r="D51" s="30" t="s">
        <v>12</v>
      </c>
      <c r="E51" s="38">
        <f t="shared" si="2"/>
        <v>10</v>
      </c>
      <c r="F51" s="39">
        <f t="shared" si="5"/>
        <v>10</v>
      </c>
      <c r="G51" s="64">
        <v>9850.86</v>
      </c>
      <c r="H51" s="33">
        <f t="shared" si="3"/>
        <v>9851</v>
      </c>
      <c r="I51" s="135">
        <f t="shared" si="0"/>
        <v>98510</v>
      </c>
      <c r="J51" s="136"/>
      <c r="K51" s="33"/>
      <c r="M51" s="138"/>
      <c r="O51" s="156"/>
      <c r="P51" s="128"/>
      <c r="Q51" s="157">
        <v>0</v>
      </c>
      <c r="R51" s="157">
        <v>0</v>
      </c>
      <c r="S51" s="157">
        <v>0</v>
      </c>
      <c r="T51" s="157">
        <v>1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3</v>
      </c>
      <c r="AB51" s="141">
        <v>1</v>
      </c>
      <c r="AC51" s="141">
        <v>0</v>
      </c>
      <c r="AD51" s="141">
        <v>0</v>
      </c>
      <c r="AE51" s="141">
        <v>0</v>
      </c>
      <c r="AF51" s="141">
        <v>2</v>
      </c>
      <c r="AG51" s="141">
        <v>1</v>
      </c>
      <c r="AH51" s="141">
        <v>1</v>
      </c>
      <c r="AI51" s="141">
        <v>0</v>
      </c>
      <c r="AJ51" s="141">
        <v>0</v>
      </c>
      <c r="AK51" s="141"/>
      <c r="AL51" s="141">
        <v>0</v>
      </c>
      <c r="AM51" s="141">
        <v>0</v>
      </c>
      <c r="AN51" s="141">
        <v>0</v>
      </c>
      <c r="AO51" s="142">
        <v>1</v>
      </c>
      <c r="AP51" s="137">
        <f t="shared" si="6"/>
        <v>10</v>
      </c>
    </row>
    <row r="52" spans="1:42" s="137" customFormat="1" ht="23.25" customHeight="1">
      <c r="A52" s="123">
        <f t="shared" si="1"/>
        <v>34</v>
      </c>
      <c r="B52" s="28" t="s">
        <v>490</v>
      </c>
      <c r="C52" s="37" t="s">
        <v>491</v>
      </c>
      <c r="D52" s="30" t="s">
        <v>11</v>
      </c>
      <c r="E52" s="38">
        <f t="shared" si="2"/>
        <v>43</v>
      </c>
      <c r="F52" s="39">
        <f>E52</f>
        <v>43</v>
      </c>
      <c r="G52" s="64">
        <v>157.45</v>
      </c>
      <c r="H52" s="33">
        <f t="shared" si="3"/>
        <v>158</v>
      </c>
      <c r="I52" s="135">
        <f>ROUNDUP(F52*H52,0)</f>
        <v>6794</v>
      </c>
      <c r="J52" s="136"/>
      <c r="K52" s="33"/>
      <c r="M52" s="138"/>
      <c r="O52" s="156"/>
      <c r="P52" s="128"/>
      <c r="Q52" s="157">
        <v>28</v>
      </c>
      <c r="R52" s="157">
        <v>0</v>
      </c>
      <c r="S52" s="157">
        <v>15</v>
      </c>
      <c r="T52" s="157">
        <v>0</v>
      </c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/>
      <c r="AL52" s="141">
        <v>0</v>
      </c>
      <c r="AM52" s="141">
        <v>0</v>
      </c>
      <c r="AN52" s="141">
        <v>0</v>
      </c>
      <c r="AO52" s="142"/>
      <c r="AP52" s="137">
        <f t="shared" si="6"/>
        <v>43</v>
      </c>
    </row>
    <row r="53" spans="1:42" s="137" customFormat="1" ht="23.25" customHeight="1">
      <c r="A53" s="123">
        <f t="shared" si="1"/>
        <v>35</v>
      </c>
      <c r="B53" s="28" t="s">
        <v>118</v>
      </c>
      <c r="C53" s="37" t="s">
        <v>450</v>
      </c>
      <c r="D53" s="30" t="s">
        <v>11</v>
      </c>
      <c r="E53" s="38">
        <f t="shared" si="2"/>
        <v>4938</v>
      </c>
      <c r="F53" s="39">
        <f t="shared" si="5"/>
        <v>4938</v>
      </c>
      <c r="G53" s="64">
        <v>89.47</v>
      </c>
      <c r="H53" s="33">
        <f t="shared" si="3"/>
        <v>90</v>
      </c>
      <c r="I53" s="135">
        <f t="shared" si="0"/>
        <v>444420</v>
      </c>
      <c r="J53" s="136"/>
      <c r="K53" s="33"/>
      <c r="M53" s="138"/>
      <c r="O53" s="156"/>
      <c r="P53" s="128"/>
      <c r="Q53" s="157">
        <v>0</v>
      </c>
      <c r="R53" s="157">
        <v>0</v>
      </c>
      <c r="S53" s="157">
        <v>188</v>
      </c>
      <c r="T53" s="157">
        <v>500</v>
      </c>
      <c r="U53" s="141">
        <v>136</v>
      </c>
      <c r="V53" s="141">
        <v>448</v>
      </c>
      <c r="W53" s="141">
        <f>11+66+102+102+102</f>
        <v>383</v>
      </c>
      <c r="X53" s="141">
        <f>110+221+102</f>
        <v>433</v>
      </c>
      <c r="Y53" s="141">
        <f>11+117+297</f>
        <v>425</v>
      </c>
      <c r="Z53" s="141">
        <f>86+82+102+254+178+180</f>
        <v>882</v>
      </c>
      <c r="AA53" s="141">
        <f>98+84+102+130</f>
        <v>414</v>
      </c>
      <c r="AB53" s="141">
        <f>102+105</f>
        <v>207</v>
      </c>
      <c r="AC53" s="141">
        <v>114</v>
      </c>
      <c r="AD53" s="141">
        <f>114+114</f>
        <v>228</v>
      </c>
      <c r="AE53" s="141">
        <f>102</f>
        <v>102</v>
      </c>
      <c r="AF53" s="141">
        <f>114+283</f>
        <v>397</v>
      </c>
      <c r="AG53" s="141">
        <v>0</v>
      </c>
      <c r="AH53" s="141">
        <v>0</v>
      </c>
      <c r="AI53" s="141">
        <v>0</v>
      </c>
      <c r="AJ53" s="141">
        <v>0</v>
      </c>
      <c r="AK53" s="141"/>
      <c r="AL53" s="141">
        <v>0</v>
      </c>
      <c r="AM53" s="141">
        <v>0</v>
      </c>
      <c r="AN53" s="141">
        <v>0</v>
      </c>
      <c r="AO53" s="142">
        <v>81</v>
      </c>
      <c r="AP53" s="137">
        <f>SUM(Q53:AO53)</f>
        <v>4938</v>
      </c>
    </row>
    <row r="54" spans="1:42" s="137" customFormat="1" ht="23.25" customHeight="1">
      <c r="A54" s="123">
        <f t="shared" si="1"/>
        <v>36</v>
      </c>
      <c r="B54" s="28" t="s">
        <v>120</v>
      </c>
      <c r="C54" s="37" t="s">
        <v>451</v>
      </c>
      <c r="D54" s="30" t="s">
        <v>11</v>
      </c>
      <c r="E54" s="38">
        <f t="shared" si="2"/>
        <v>3240</v>
      </c>
      <c r="F54" s="39">
        <f t="shared" si="5"/>
        <v>3240</v>
      </c>
      <c r="G54" s="64">
        <v>100.78</v>
      </c>
      <c r="H54" s="33">
        <f t="shared" si="3"/>
        <v>101</v>
      </c>
      <c r="I54" s="135">
        <f t="shared" si="0"/>
        <v>327240</v>
      </c>
      <c r="J54" s="136"/>
      <c r="K54" s="33"/>
      <c r="M54" s="138"/>
      <c r="O54" s="156"/>
      <c r="P54" s="128"/>
      <c r="Q54" s="157">
        <v>0</v>
      </c>
      <c r="R54" s="157">
        <v>303</v>
      </c>
      <c r="S54" s="157">
        <v>302</v>
      </c>
      <c r="T54" s="157">
        <v>0</v>
      </c>
      <c r="U54" s="141">
        <v>0</v>
      </c>
      <c r="V54" s="141">
        <v>0</v>
      </c>
      <c r="W54" s="141">
        <f>227+295</f>
        <v>522</v>
      </c>
      <c r="X54" s="141">
        <v>0</v>
      </c>
      <c r="Y54" s="141">
        <v>208</v>
      </c>
      <c r="Z54" s="141">
        <f>252+327</f>
        <v>579</v>
      </c>
      <c r="AA54" s="141">
        <f>102+173+118+19</f>
        <v>412</v>
      </c>
      <c r="AB54" s="141">
        <v>0</v>
      </c>
      <c r="AC54" s="141">
        <v>0</v>
      </c>
      <c r="AD54" s="141">
        <v>0</v>
      </c>
      <c r="AE54" s="141">
        <f>116+239</f>
        <v>355</v>
      </c>
      <c r="AF54" s="141">
        <v>273</v>
      </c>
      <c r="AG54" s="141">
        <v>0</v>
      </c>
      <c r="AH54" s="141">
        <f>50+22+117</f>
        <v>189</v>
      </c>
      <c r="AI54" s="141">
        <f>77+20</f>
        <v>97</v>
      </c>
      <c r="AJ54" s="141">
        <v>0</v>
      </c>
      <c r="AK54" s="141"/>
      <c r="AL54" s="141">
        <v>0</v>
      </c>
      <c r="AM54" s="141">
        <v>0</v>
      </c>
      <c r="AN54" s="141">
        <v>0</v>
      </c>
      <c r="AO54" s="142"/>
      <c r="AP54" s="137">
        <f t="shared" si="6"/>
        <v>3240</v>
      </c>
    </row>
    <row r="55" spans="1:42" s="137" customFormat="1" ht="23.25" customHeight="1">
      <c r="A55" s="123">
        <f t="shared" si="1"/>
        <v>37</v>
      </c>
      <c r="B55" s="28" t="s">
        <v>122</v>
      </c>
      <c r="C55" s="37" t="s">
        <v>452</v>
      </c>
      <c r="D55" s="30" t="s">
        <v>11</v>
      </c>
      <c r="E55" s="38">
        <f t="shared" si="2"/>
        <v>1856</v>
      </c>
      <c r="F55" s="39">
        <f t="shared" si="5"/>
        <v>1856</v>
      </c>
      <c r="G55" s="64">
        <v>132.76</v>
      </c>
      <c r="H55" s="33">
        <f t="shared" si="3"/>
        <v>133</v>
      </c>
      <c r="I55" s="135">
        <f t="shared" si="0"/>
        <v>246848</v>
      </c>
      <c r="J55" s="136"/>
      <c r="K55" s="33"/>
      <c r="M55" s="138"/>
      <c r="O55" s="156"/>
      <c r="P55" s="128"/>
      <c r="Q55" s="157">
        <v>0</v>
      </c>
      <c r="R55" s="157">
        <v>0</v>
      </c>
      <c r="S55" s="157">
        <v>0</v>
      </c>
      <c r="T55" s="157">
        <v>0</v>
      </c>
      <c r="U55" s="141">
        <v>229</v>
      </c>
      <c r="V55" s="141">
        <f>218+57+237</f>
        <v>512</v>
      </c>
      <c r="W55" s="141">
        <v>229</v>
      </c>
      <c r="X55" s="141">
        <v>0</v>
      </c>
      <c r="Y55" s="141">
        <v>0</v>
      </c>
      <c r="Z55" s="141">
        <f>325</f>
        <v>325</v>
      </c>
      <c r="AA55" s="141">
        <v>162</v>
      </c>
      <c r="AB55" s="141">
        <v>0</v>
      </c>
      <c r="AC55" s="141">
        <v>0</v>
      </c>
      <c r="AD55" s="141">
        <v>0</v>
      </c>
      <c r="AE55" s="141">
        <v>284</v>
      </c>
      <c r="AF55" s="141">
        <v>0</v>
      </c>
      <c r="AG55" s="141">
        <v>0</v>
      </c>
      <c r="AH55" s="141">
        <f>32+16+30+37</f>
        <v>115</v>
      </c>
      <c r="AI55" s="141">
        <v>0</v>
      </c>
      <c r="AJ55" s="141">
        <v>0</v>
      </c>
      <c r="AK55" s="141"/>
      <c r="AL55" s="141">
        <v>0</v>
      </c>
      <c r="AM55" s="141">
        <v>0</v>
      </c>
      <c r="AN55" s="141">
        <v>0</v>
      </c>
      <c r="AO55" s="142"/>
      <c r="AP55" s="137">
        <f t="shared" si="6"/>
        <v>1856</v>
      </c>
    </row>
    <row r="56" spans="1:42" s="137" customFormat="1" ht="23.25" customHeight="1">
      <c r="A56" s="123">
        <f t="shared" si="1"/>
        <v>38</v>
      </c>
      <c r="B56" s="28" t="s">
        <v>124</v>
      </c>
      <c r="C56" s="37" t="s">
        <v>453</v>
      </c>
      <c r="D56" s="30" t="s">
        <v>11</v>
      </c>
      <c r="E56" s="38">
        <f t="shared" si="2"/>
        <v>2122</v>
      </c>
      <c r="F56" s="39">
        <f t="shared" si="5"/>
        <v>2122</v>
      </c>
      <c r="G56" s="64">
        <v>199.46</v>
      </c>
      <c r="H56" s="33">
        <f t="shared" si="3"/>
        <v>200</v>
      </c>
      <c r="I56" s="135">
        <f t="shared" si="0"/>
        <v>424400</v>
      </c>
      <c r="J56" s="136"/>
      <c r="K56" s="33"/>
      <c r="M56" s="138"/>
      <c r="O56" s="156"/>
      <c r="P56" s="128"/>
      <c r="Q56" s="157">
        <v>0</v>
      </c>
      <c r="R56" s="157">
        <v>0</v>
      </c>
      <c r="S56" s="157">
        <f>62+213</f>
        <v>275</v>
      </c>
      <c r="T56" s="157">
        <v>800</v>
      </c>
      <c r="U56" s="141">
        <v>145</v>
      </c>
      <c r="V56" s="141">
        <v>0</v>
      </c>
      <c r="W56" s="141">
        <v>0</v>
      </c>
      <c r="X56" s="141">
        <v>0</v>
      </c>
      <c r="Y56" s="141">
        <v>0</v>
      </c>
      <c r="Z56" s="141">
        <v>0</v>
      </c>
      <c r="AA56" s="152">
        <v>353</v>
      </c>
      <c r="AB56" s="141">
        <f>349+158</f>
        <v>507</v>
      </c>
      <c r="AC56" s="141">
        <v>0</v>
      </c>
      <c r="AD56" s="141">
        <v>0</v>
      </c>
      <c r="AE56" s="141">
        <v>0</v>
      </c>
      <c r="AF56" s="141">
        <v>0</v>
      </c>
      <c r="AG56" s="141">
        <v>0</v>
      </c>
      <c r="AH56" s="141">
        <v>0</v>
      </c>
      <c r="AI56" s="141">
        <v>0</v>
      </c>
      <c r="AJ56" s="141">
        <v>0</v>
      </c>
      <c r="AK56" s="141"/>
      <c r="AL56" s="141">
        <v>0</v>
      </c>
      <c r="AM56" s="141">
        <v>0</v>
      </c>
      <c r="AN56" s="141">
        <v>0</v>
      </c>
      <c r="AO56" s="142">
        <v>42</v>
      </c>
      <c r="AP56" s="137">
        <f t="shared" si="6"/>
        <v>2122</v>
      </c>
    </row>
    <row r="57" spans="1:42" s="137" customFormat="1" ht="22.5" customHeight="1">
      <c r="A57" s="123">
        <f t="shared" si="1"/>
        <v>39</v>
      </c>
      <c r="B57" s="28" t="s">
        <v>126</v>
      </c>
      <c r="C57" s="29" t="s">
        <v>454</v>
      </c>
      <c r="D57" s="30" t="s">
        <v>11</v>
      </c>
      <c r="E57" s="38">
        <f t="shared" si="2"/>
        <v>2022</v>
      </c>
      <c r="F57" s="39">
        <f t="shared" si="5"/>
        <v>2022</v>
      </c>
      <c r="G57" s="64">
        <v>219.06</v>
      </c>
      <c r="H57" s="33">
        <f t="shared" si="3"/>
        <v>220</v>
      </c>
      <c r="I57" s="135">
        <f t="shared" si="0"/>
        <v>444840</v>
      </c>
      <c r="J57" s="136"/>
      <c r="K57" s="33"/>
      <c r="M57" s="138"/>
      <c r="O57" s="128"/>
      <c r="P57" s="128"/>
      <c r="Q57" s="157">
        <v>0</v>
      </c>
      <c r="R57" s="157">
        <v>0</v>
      </c>
      <c r="S57" s="157">
        <v>0</v>
      </c>
      <c r="T57" s="157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13</v>
      </c>
      <c r="AB57" s="141">
        <v>0</v>
      </c>
      <c r="AC57" s="141">
        <f>372+163</f>
        <v>535</v>
      </c>
      <c r="AD57" s="141">
        <f>331+320</f>
        <v>651</v>
      </c>
      <c r="AE57" s="141">
        <f>276+331</f>
        <v>607</v>
      </c>
      <c r="AF57" s="141">
        <v>216</v>
      </c>
      <c r="AG57" s="141">
        <v>0</v>
      </c>
      <c r="AH57" s="141">
        <v>0</v>
      </c>
      <c r="AI57" s="141">
        <v>0</v>
      </c>
      <c r="AJ57" s="141">
        <v>0</v>
      </c>
      <c r="AK57" s="141"/>
      <c r="AL57" s="141">
        <v>0</v>
      </c>
      <c r="AM57" s="141">
        <v>0</v>
      </c>
      <c r="AN57" s="141">
        <v>0</v>
      </c>
      <c r="AO57" s="142"/>
      <c r="AP57" s="137">
        <f t="shared" si="6"/>
        <v>2022</v>
      </c>
    </row>
    <row r="58" spans="1:42" s="137" customFormat="1" ht="22.5" customHeight="1">
      <c r="A58" s="123">
        <f t="shared" si="1"/>
        <v>40</v>
      </c>
      <c r="B58" s="28" t="s">
        <v>369</v>
      </c>
      <c r="C58" s="29" t="s">
        <v>455</v>
      </c>
      <c r="D58" s="30" t="s">
        <v>11</v>
      </c>
      <c r="E58" s="38">
        <f t="shared" si="2"/>
        <v>496</v>
      </c>
      <c r="F58" s="39">
        <f t="shared" si="5"/>
        <v>496</v>
      </c>
      <c r="G58" s="64">
        <v>103.3</v>
      </c>
      <c r="H58" s="33">
        <f t="shared" si="3"/>
        <v>104</v>
      </c>
      <c r="I58" s="135">
        <f t="shared" si="0"/>
        <v>51584</v>
      </c>
      <c r="J58" s="136"/>
      <c r="K58" s="33"/>
      <c r="M58" s="138"/>
      <c r="O58" s="128"/>
      <c r="P58" s="128"/>
      <c r="Q58" s="157">
        <v>0</v>
      </c>
      <c r="R58" s="157">
        <v>0</v>
      </c>
      <c r="S58" s="157">
        <v>0</v>
      </c>
      <c r="T58" s="157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40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/>
      <c r="AL58" s="141">
        <f>24+46+31+34</f>
        <v>135</v>
      </c>
      <c r="AM58" s="141">
        <f>291+30</f>
        <v>321</v>
      </c>
      <c r="AN58" s="141">
        <v>0</v>
      </c>
      <c r="AO58" s="142"/>
      <c r="AP58" s="137">
        <f t="shared" si="6"/>
        <v>496</v>
      </c>
    </row>
    <row r="59" spans="1:42" s="137" customFormat="1" ht="22.5" customHeight="1">
      <c r="A59" s="123">
        <f t="shared" si="1"/>
        <v>41</v>
      </c>
      <c r="B59" s="28" t="s">
        <v>370</v>
      </c>
      <c r="C59" s="29" t="s">
        <v>456</v>
      </c>
      <c r="D59" s="30" t="s">
        <v>11</v>
      </c>
      <c r="E59" s="38">
        <f>ROUNDUP(AP59,0)</f>
        <v>101</v>
      </c>
      <c r="F59" s="39">
        <f t="shared" si="5"/>
        <v>101</v>
      </c>
      <c r="G59" s="64">
        <v>119.63</v>
      </c>
      <c r="H59" s="33">
        <f t="shared" si="3"/>
        <v>120</v>
      </c>
      <c r="I59" s="135">
        <f>ROUNDUP(F59*H59,0)</f>
        <v>12120</v>
      </c>
      <c r="J59" s="136"/>
      <c r="K59" s="33"/>
      <c r="M59" s="138"/>
      <c r="O59" s="128"/>
      <c r="P59" s="128"/>
      <c r="Q59" s="157"/>
      <c r="R59" s="157">
        <v>101</v>
      </c>
      <c r="S59" s="157"/>
      <c r="T59" s="157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2"/>
      <c r="AP59" s="137">
        <f t="shared" si="6"/>
        <v>101</v>
      </c>
    </row>
    <row r="60" spans="1:42" s="137" customFormat="1" ht="22.5" customHeight="1">
      <c r="A60" s="123">
        <f t="shared" si="1"/>
        <v>42</v>
      </c>
      <c r="B60" s="28" t="s">
        <v>371</v>
      </c>
      <c r="C60" s="37" t="s">
        <v>457</v>
      </c>
      <c r="D60" s="30" t="s">
        <v>11</v>
      </c>
      <c r="E60" s="38">
        <f t="shared" si="2"/>
        <v>225</v>
      </c>
      <c r="F60" s="39">
        <f t="shared" si="5"/>
        <v>225</v>
      </c>
      <c r="G60" s="64">
        <v>148.51</v>
      </c>
      <c r="H60" s="33">
        <f t="shared" si="3"/>
        <v>149</v>
      </c>
      <c r="I60" s="135">
        <f t="shared" si="0"/>
        <v>33525</v>
      </c>
      <c r="J60" s="136"/>
      <c r="K60" s="33"/>
      <c r="M60" s="138"/>
      <c r="O60" s="128"/>
      <c r="P60" s="128"/>
      <c r="Q60" s="157">
        <v>0</v>
      </c>
      <c r="R60" s="157">
        <v>70</v>
      </c>
      <c r="S60" s="157">
        <v>0</v>
      </c>
      <c r="T60" s="157">
        <v>0</v>
      </c>
      <c r="U60" s="141">
        <v>0</v>
      </c>
      <c r="V60" s="141">
        <v>0</v>
      </c>
      <c r="W60" s="141">
        <v>0</v>
      </c>
      <c r="X60" s="141">
        <v>0</v>
      </c>
      <c r="Y60" s="141">
        <v>0</v>
      </c>
      <c r="Z60" s="141">
        <v>0</v>
      </c>
      <c r="AA60" s="141">
        <v>146</v>
      </c>
      <c r="AB60" s="141">
        <v>0</v>
      </c>
      <c r="AC60" s="141">
        <v>0</v>
      </c>
      <c r="AD60" s="141">
        <v>0</v>
      </c>
      <c r="AE60" s="141">
        <v>9</v>
      </c>
      <c r="AF60" s="141">
        <v>0</v>
      </c>
      <c r="AG60" s="141">
        <v>0</v>
      </c>
      <c r="AH60" s="141">
        <v>0</v>
      </c>
      <c r="AI60" s="141">
        <v>0</v>
      </c>
      <c r="AJ60" s="141">
        <v>0</v>
      </c>
      <c r="AK60" s="141"/>
      <c r="AL60" s="141">
        <v>0</v>
      </c>
      <c r="AM60" s="141">
        <v>0</v>
      </c>
      <c r="AN60" s="141">
        <v>0</v>
      </c>
      <c r="AO60" s="142"/>
      <c r="AP60" s="137">
        <f t="shared" si="6"/>
        <v>225</v>
      </c>
    </row>
    <row r="61" spans="1:42" s="137" customFormat="1" ht="22.5" customHeight="1">
      <c r="A61" s="123">
        <f t="shared" si="1"/>
        <v>43</v>
      </c>
      <c r="B61" s="28" t="s">
        <v>372</v>
      </c>
      <c r="C61" s="29" t="s">
        <v>458</v>
      </c>
      <c r="D61" s="30" t="s">
        <v>11</v>
      </c>
      <c r="E61" s="38">
        <f t="shared" si="2"/>
        <v>150</v>
      </c>
      <c r="F61" s="39">
        <f t="shared" si="5"/>
        <v>150</v>
      </c>
      <c r="G61" s="64">
        <v>171.04</v>
      </c>
      <c r="H61" s="33">
        <f t="shared" si="3"/>
        <v>172</v>
      </c>
      <c r="I61" s="135">
        <f t="shared" si="0"/>
        <v>25800</v>
      </c>
      <c r="J61" s="136"/>
      <c r="K61" s="33"/>
      <c r="M61" s="138"/>
      <c r="O61" s="128"/>
      <c r="P61" s="128"/>
      <c r="Q61" s="157">
        <v>0</v>
      </c>
      <c r="R61" s="157">
        <v>0</v>
      </c>
      <c r="S61" s="157">
        <v>0</v>
      </c>
      <c r="T61" s="157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f>130+20</f>
        <v>150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0</v>
      </c>
      <c r="AJ61" s="141">
        <v>0</v>
      </c>
      <c r="AK61" s="141"/>
      <c r="AL61" s="141">
        <v>0</v>
      </c>
      <c r="AM61" s="141">
        <v>0</v>
      </c>
      <c r="AN61" s="141">
        <v>0</v>
      </c>
      <c r="AO61" s="142"/>
      <c r="AP61" s="137">
        <f t="shared" si="6"/>
        <v>150</v>
      </c>
    </row>
    <row r="62" spans="1:42" s="137" customFormat="1" ht="22.5" customHeight="1">
      <c r="A62" s="123">
        <f t="shared" si="1"/>
        <v>44</v>
      </c>
      <c r="B62" s="28" t="s">
        <v>374</v>
      </c>
      <c r="C62" s="29" t="s">
        <v>460</v>
      </c>
      <c r="D62" s="30" t="s">
        <v>11</v>
      </c>
      <c r="E62" s="38">
        <f t="shared" si="2"/>
        <v>198</v>
      </c>
      <c r="F62" s="39">
        <f t="shared" si="5"/>
        <v>198</v>
      </c>
      <c r="G62" s="64">
        <v>231.7</v>
      </c>
      <c r="H62" s="33">
        <f t="shared" si="3"/>
        <v>232</v>
      </c>
      <c r="I62" s="135">
        <f t="shared" si="0"/>
        <v>45936</v>
      </c>
      <c r="J62" s="158"/>
      <c r="K62" s="33"/>
      <c r="M62" s="138"/>
      <c r="O62" s="128"/>
      <c r="P62" s="128"/>
      <c r="Q62" s="157">
        <v>0</v>
      </c>
      <c r="R62" s="157">
        <v>0</v>
      </c>
      <c r="S62" s="157">
        <v>0</v>
      </c>
      <c r="T62" s="157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f>37+36</f>
        <v>73</v>
      </c>
      <c r="AB62" s="141">
        <v>0</v>
      </c>
      <c r="AC62" s="141">
        <v>0</v>
      </c>
      <c r="AD62" s="141">
        <v>0</v>
      </c>
      <c r="AE62" s="141">
        <v>0</v>
      </c>
      <c r="AF62" s="141">
        <f>117+8</f>
        <v>125</v>
      </c>
      <c r="AG62" s="141">
        <v>0</v>
      </c>
      <c r="AH62" s="141">
        <v>0</v>
      </c>
      <c r="AI62" s="141">
        <v>0</v>
      </c>
      <c r="AJ62" s="141">
        <v>0</v>
      </c>
      <c r="AK62" s="141"/>
      <c r="AL62" s="141">
        <v>0</v>
      </c>
      <c r="AM62" s="141">
        <v>0</v>
      </c>
      <c r="AN62" s="141">
        <v>0</v>
      </c>
      <c r="AO62" s="142"/>
      <c r="AP62" s="137">
        <f t="shared" si="6"/>
        <v>198</v>
      </c>
    </row>
    <row r="63" spans="1:42" s="137" customFormat="1" ht="22.5" customHeight="1">
      <c r="A63" s="123">
        <f t="shared" si="1"/>
        <v>45</v>
      </c>
      <c r="B63" s="28" t="s">
        <v>497</v>
      </c>
      <c r="C63" s="29" t="s">
        <v>498</v>
      </c>
      <c r="D63" s="30" t="s">
        <v>11</v>
      </c>
      <c r="E63" s="38">
        <f t="shared" si="2"/>
        <v>1349</v>
      </c>
      <c r="F63" s="39">
        <f t="shared" si="5"/>
        <v>1349</v>
      </c>
      <c r="G63" s="64">
        <v>1000</v>
      </c>
      <c r="H63" s="33">
        <f t="shared" si="3"/>
        <v>1000</v>
      </c>
      <c r="I63" s="135">
        <f t="shared" si="0"/>
        <v>1349000</v>
      </c>
      <c r="J63" s="158"/>
      <c r="K63" s="33"/>
      <c r="M63" s="138"/>
      <c r="O63" s="128"/>
      <c r="P63" s="128"/>
      <c r="Q63" s="157">
        <v>0</v>
      </c>
      <c r="R63" s="157">
        <v>0</v>
      </c>
      <c r="S63" s="157">
        <v>421</v>
      </c>
      <c r="T63" s="157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1">
        <v>0</v>
      </c>
      <c r="AF63" s="141">
        <v>291</v>
      </c>
      <c r="AG63" s="141">
        <f>111+10+243+113</f>
        <v>477</v>
      </c>
      <c r="AH63" s="141">
        <v>0</v>
      </c>
      <c r="AI63" s="141">
        <v>0</v>
      </c>
      <c r="AJ63" s="141">
        <v>0</v>
      </c>
      <c r="AK63" s="141"/>
      <c r="AL63" s="141">
        <v>0</v>
      </c>
      <c r="AM63" s="141">
        <v>0</v>
      </c>
      <c r="AN63" s="141">
        <v>0</v>
      </c>
      <c r="AO63" s="142">
        <v>160</v>
      </c>
      <c r="AP63" s="137">
        <f t="shared" si="6"/>
        <v>1349</v>
      </c>
    </row>
    <row r="64" spans="1:42" s="137" customFormat="1" ht="22.5" customHeight="1">
      <c r="A64" s="123">
        <f t="shared" si="1"/>
        <v>46</v>
      </c>
      <c r="B64" s="28" t="s">
        <v>375</v>
      </c>
      <c r="C64" s="29" t="s">
        <v>461</v>
      </c>
      <c r="D64" s="30" t="s">
        <v>11</v>
      </c>
      <c r="E64" s="38">
        <f t="shared" si="2"/>
        <v>160</v>
      </c>
      <c r="F64" s="39">
        <f t="shared" si="5"/>
        <v>160</v>
      </c>
      <c r="G64" s="64">
        <v>5678</v>
      </c>
      <c r="H64" s="33">
        <f t="shared" si="3"/>
        <v>5678</v>
      </c>
      <c r="I64" s="135">
        <f t="shared" si="0"/>
        <v>908480</v>
      </c>
      <c r="J64" s="136"/>
      <c r="K64" s="33"/>
      <c r="M64" s="138"/>
      <c r="O64" s="128"/>
      <c r="P64" s="128"/>
      <c r="Q64" s="157">
        <v>104</v>
      </c>
      <c r="R64" s="157">
        <v>56</v>
      </c>
      <c r="S64" s="157">
        <v>0</v>
      </c>
      <c r="T64" s="157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/>
      <c r="AL64" s="141">
        <v>0</v>
      </c>
      <c r="AM64" s="141">
        <v>0</v>
      </c>
      <c r="AN64" s="141">
        <v>0</v>
      </c>
      <c r="AO64" s="142"/>
      <c r="AP64" s="137">
        <f t="shared" si="6"/>
        <v>160</v>
      </c>
    </row>
    <row r="65" spans="1:42" s="137" customFormat="1" ht="22.5" customHeight="1">
      <c r="A65" s="123">
        <f t="shared" si="1"/>
        <v>47</v>
      </c>
      <c r="B65" s="28" t="s">
        <v>376</v>
      </c>
      <c r="C65" s="29" t="s">
        <v>377</v>
      </c>
      <c r="D65" s="30" t="s">
        <v>12</v>
      </c>
      <c r="E65" s="38">
        <f t="shared" si="2"/>
        <v>1</v>
      </c>
      <c r="F65" s="39">
        <f t="shared" si="5"/>
        <v>1</v>
      </c>
      <c r="G65" s="64">
        <v>2628.57</v>
      </c>
      <c r="H65" s="33">
        <f t="shared" si="3"/>
        <v>2629</v>
      </c>
      <c r="I65" s="135">
        <f t="shared" si="0"/>
        <v>2629</v>
      </c>
      <c r="J65" s="136"/>
      <c r="K65" s="33"/>
      <c r="M65" s="138"/>
      <c r="O65" s="128"/>
      <c r="P65" s="128"/>
      <c r="Q65" s="157">
        <v>0</v>
      </c>
      <c r="R65" s="157">
        <v>0</v>
      </c>
      <c r="S65" s="157">
        <v>0</v>
      </c>
      <c r="T65" s="157">
        <v>0</v>
      </c>
      <c r="U65" s="141">
        <v>0</v>
      </c>
      <c r="V65" s="141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1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/>
      <c r="AL65" s="141">
        <v>0</v>
      </c>
      <c r="AM65" s="141">
        <v>0</v>
      </c>
      <c r="AN65" s="141">
        <v>0</v>
      </c>
      <c r="AO65" s="142"/>
      <c r="AP65" s="137">
        <f t="shared" si="6"/>
        <v>1</v>
      </c>
    </row>
    <row r="66" spans="1:42" s="137" customFormat="1" ht="22.5" customHeight="1">
      <c r="A66" s="123">
        <f t="shared" si="1"/>
        <v>48</v>
      </c>
      <c r="B66" s="28" t="s">
        <v>463</v>
      </c>
      <c r="C66" s="29" t="s">
        <v>481</v>
      </c>
      <c r="D66" s="30" t="s">
        <v>12</v>
      </c>
      <c r="E66" s="38">
        <f t="shared" si="2"/>
        <v>2</v>
      </c>
      <c r="F66" s="39">
        <f t="shared" si="5"/>
        <v>2</v>
      </c>
      <c r="G66" s="64">
        <v>5567.33</v>
      </c>
      <c r="H66" s="33">
        <f t="shared" si="3"/>
        <v>5568</v>
      </c>
      <c r="I66" s="135">
        <f t="shared" si="0"/>
        <v>11136</v>
      </c>
      <c r="J66" s="136"/>
      <c r="K66" s="33"/>
      <c r="M66" s="138"/>
      <c r="O66" s="128"/>
      <c r="P66" s="128"/>
      <c r="Q66" s="157">
        <v>0</v>
      </c>
      <c r="R66" s="157">
        <v>0</v>
      </c>
      <c r="S66" s="157">
        <v>0</v>
      </c>
      <c r="T66" s="157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/>
      <c r="AL66" s="141">
        <v>0</v>
      </c>
      <c r="AM66" s="141">
        <v>0</v>
      </c>
      <c r="AN66" s="141">
        <v>0</v>
      </c>
      <c r="AO66" s="142">
        <v>2</v>
      </c>
      <c r="AP66" s="137">
        <f t="shared" si="6"/>
        <v>2</v>
      </c>
    </row>
    <row r="67" spans="1:42" s="137" customFormat="1" ht="22.5" customHeight="1">
      <c r="A67" s="123">
        <f t="shared" si="1"/>
        <v>49</v>
      </c>
      <c r="B67" s="28" t="s">
        <v>464</v>
      </c>
      <c r="C67" s="29" t="s">
        <v>482</v>
      </c>
      <c r="D67" s="30" t="s">
        <v>12</v>
      </c>
      <c r="E67" s="38">
        <f t="shared" si="2"/>
        <v>1</v>
      </c>
      <c r="F67" s="39">
        <f t="shared" si="5"/>
        <v>1</v>
      </c>
      <c r="G67" s="64">
        <v>6500</v>
      </c>
      <c r="H67" s="33">
        <f t="shared" si="3"/>
        <v>6500</v>
      </c>
      <c r="I67" s="135">
        <f t="shared" si="0"/>
        <v>6500</v>
      </c>
      <c r="J67" s="136"/>
      <c r="K67" s="33"/>
      <c r="M67" s="138"/>
      <c r="O67" s="128"/>
      <c r="P67" s="128"/>
      <c r="Q67" s="157">
        <v>0</v>
      </c>
      <c r="R67" s="157">
        <v>0</v>
      </c>
      <c r="S67" s="157">
        <v>0</v>
      </c>
      <c r="T67" s="157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1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/>
      <c r="AL67" s="141">
        <v>0</v>
      </c>
      <c r="AM67" s="141">
        <v>0</v>
      </c>
      <c r="AN67" s="141">
        <v>0</v>
      </c>
      <c r="AO67" s="142"/>
      <c r="AP67" s="137">
        <f t="shared" si="6"/>
        <v>1</v>
      </c>
    </row>
    <row r="68" spans="1:42" s="137" customFormat="1" ht="22.5" customHeight="1">
      <c r="A68" s="123">
        <f t="shared" si="1"/>
        <v>50</v>
      </c>
      <c r="B68" s="28" t="s">
        <v>465</v>
      </c>
      <c r="C68" s="37" t="s">
        <v>483</v>
      </c>
      <c r="D68" s="30" t="s">
        <v>12</v>
      </c>
      <c r="E68" s="38">
        <f t="shared" si="2"/>
        <v>2</v>
      </c>
      <c r="F68" s="39">
        <f t="shared" si="5"/>
        <v>2</v>
      </c>
      <c r="G68" s="64">
        <v>4100</v>
      </c>
      <c r="H68" s="33">
        <f t="shared" si="3"/>
        <v>4100</v>
      </c>
      <c r="I68" s="135">
        <f t="shared" si="0"/>
        <v>8200</v>
      </c>
      <c r="J68" s="136"/>
      <c r="K68" s="33"/>
      <c r="M68" s="138"/>
      <c r="O68" s="128"/>
      <c r="P68" s="128"/>
      <c r="Q68" s="157">
        <v>0</v>
      </c>
      <c r="R68" s="157">
        <v>0</v>
      </c>
      <c r="S68" s="157">
        <v>0</v>
      </c>
      <c r="T68" s="157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2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141">
        <v>0</v>
      </c>
      <c r="AK68" s="141"/>
      <c r="AL68" s="141">
        <v>0</v>
      </c>
      <c r="AM68" s="141">
        <v>0</v>
      </c>
      <c r="AN68" s="141">
        <v>0</v>
      </c>
      <c r="AO68" s="142"/>
      <c r="AP68" s="137">
        <f t="shared" si="6"/>
        <v>2</v>
      </c>
    </row>
    <row r="69" spans="1:42" s="137" customFormat="1" ht="22.5" customHeight="1">
      <c r="A69" s="123">
        <f t="shared" si="1"/>
        <v>51</v>
      </c>
      <c r="B69" s="28" t="s">
        <v>466</v>
      </c>
      <c r="C69" s="37" t="s">
        <v>484</v>
      </c>
      <c r="D69" s="30" t="s">
        <v>12</v>
      </c>
      <c r="E69" s="38">
        <f t="shared" si="2"/>
        <v>1</v>
      </c>
      <c r="F69" s="39">
        <f t="shared" si="5"/>
        <v>1</v>
      </c>
      <c r="G69" s="64">
        <v>3260</v>
      </c>
      <c r="H69" s="33">
        <f t="shared" si="3"/>
        <v>3260</v>
      </c>
      <c r="I69" s="135">
        <f t="shared" si="0"/>
        <v>3260</v>
      </c>
      <c r="J69" s="136"/>
      <c r="K69" s="33"/>
      <c r="M69" s="138"/>
      <c r="O69" s="128"/>
      <c r="P69" s="128"/>
      <c r="Q69" s="157">
        <v>0</v>
      </c>
      <c r="R69" s="157">
        <v>0</v>
      </c>
      <c r="S69" s="157">
        <v>0</v>
      </c>
      <c r="T69" s="157">
        <v>0</v>
      </c>
      <c r="U69" s="141">
        <v>0</v>
      </c>
      <c r="V69" s="141">
        <v>0</v>
      </c>
      <c r="W69" s="141">
        <v>0</v>
      </c>
      <c r="X69" s="141">
        <v>0</v>
      </c>
      <c r="Y69" s="141">
        <v>0</v>
      </c>
      <c r="Z69" s="141">
        <v>0</v>
      </c>
      <c r="AA69" s="141">
        <v>0</v>
      </c>
      <c r="AB69" s="141">
        <v>0</v>
      </c>
      <c r="AC69" s="141">
        <v>0</v>
      </c>
      <c r="AD69" s="141">
        <v>0</v>
      </c>
      <c r="AE69" s="141">
        <v>0</v>
      </c>
      <c r="AF69" s="141">
        <v>0</v>
      </c>
      <c r="AG69" s="141">
        <v>0</v>
      </c>
      <c r="AH69" s="141">
        <v>1</v>
      </c>
      <c r="AI69" s="141">
        <v>0</v>
      </c>
      <c r="AJ69" s="141">
        <v>0</v>
      </c>
      <c r="AK69" s="141"/>
      <c r="AL69" s="141">
        <v>0</v>
      </c>
      <c r="AM69" s="141">
        <v>0</v>
      </c>
      <c r="AN69" s="141">
        <v>0</v>
      </c>
      <c r="AO69" s="142"/>
      <c r="AP69" s="137">
        <f t="shared" si="6"/>
        <v>1</v>
      </c>
    </row>
    <row r="70" spans="1:42" s="137" customFormat="1" ht="22.5" customHeight="1">
      <c r="A70" s="123">
        <f t="shared" si="1"/>
        <v>52</v>
      </c>
      <c r="B70" s="28" t="s">
        <v>467</v>
      </c>
      <c r="C70" s="29" t="s">
        <v>485</v>
      </c>
      <c r="D70" s="30" t="s">
        <v>12</v>
      </c>
      <c r="E70" s="38">
        <f t="shared" si="2"/>
        <v>1</v>
      </c>
      <c r="F70" s="39">
        <f t="shared" si="5"/>
        <v>1</v>
      </c>
      <c r="G70" s="64">
        <v>5150</v>
      </c>
      <c r="H70" s="33">
        <f t="shared" si="3"/>
        <v>5150</v>
      </c>
      <c r="I70" s="135">
        <f t="shared" si="0"/>
        <v>5150</v>
      </c>
      <c r="J70" s="136"/>
      <c r="K70" s="33"/>
      <c r="M70" s="138"/>
      <c r="O70" s="128"/>
      <c r="P70" s="128"/>
      <c r="Q70" s="157">
        <v>0</v>
      </c>
      <c r="R70" s="157">
        <v>0</v>
      </c>
      <c r="S70" s="157">
        <v>0</v>
      </c>
      <c r="T70" s="157">
        <v>0</v>
      </c>
      <c r="U70" s="141">
        <v>0</v>
      </c>
      <c r="V70" s="141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1</v>
      </c>
      <c r="AI70" s="141">
        <v>0</v>
      </c>
      <c r="AJ70" s="141">
        <v>0</v>
      </c>
      <c r="AK70" s="141"/>
      <c r="AL70" s="141">
        <v>0</v>
      </c>
      <c r="AM70" s="141">
        <v>0</v>
      </c>
      <c r="AN70" s="141">
        <v>0</v>
      </c>
      <c r="AO70" s="142"/>
      <c r="AP70" s="137">
        <f t="shared" si="6"/>
        <v>1</v>
      </c>
    </row>
    <row r="71" spans="1:42" s="137" customFormat="1" ht="22.5" customHeight="1">
      <c r="A71" s="123">
        <f t="shared" si="1"/>
        <v>53</v>
      </c>
      <c r="B71" s="28" t="s">
        <v>500</v>
      </c>
      <c r="C71" s="29" t="s">
        <v>501</v>
      </c>
      <c r="D71" s="30" t="s">
        <v>11</v>
      </c>
      <c r="E71" s="38">
        <f t="shared" si="2"/>
        <v>204</v>
      </c>
      <c r="F71" s="39">
        <f t="shared" si="5"/>
        <v>204</v>
      </c>
      <c r="G71" s="64">
        <v>70</v>
      </c>
      <c r="H71" s="33">
        <f t="shared" si="3"/>
        <v>70</v>
      </c>
      <c r="I71" s="135">
        <f t="shared" si="0"/>
        <v>14280</v>
      </c>
      <c r="J71" s="136"/>
      <c r="K71" s="33"/>
      <c r="M71" s="138"/>
      <c r="O71" s="128"/>
      <c r="P71" s="128"/>
      <c r="Q71" s="157">
        <v>0</v>
      </c>
      <c r="R71" s="157">
        <v>0</v>
      </c>
      <c r="S71" s="157">
        <v>0</v>
      </c>
      <c r="T71" s="157">
        <v>0</v>
      </c>
      <c r="U71" s="141">
        <v>0</v>
      </c>
      <c r="V71" s="141">
        <v>0</v>
      </c>
      <c r="W71" s="141">
        <v>0</v>
      </c>
      <c r="X71" s="141">
        <v>204</v>
      </c>
      <c r="Y71" s="141">
        <v>0</v>
      </c>
      <c r="Z71" s="141">
        <v>0</v>
      </c>
      <c r="AA71" s="141">
        <v>0</v>
      </c>
      <c r="AB71" s="141">
        <v>0</v>
      </c>
      <c r="AC71" s="141">
        <v>0</v>
      </c>
      <c r="AD71" s="141">
        <v>0</v>
      </c>
      <c r="AE71" s="141">
        <v>0</v>
      </c>
      <c r="AF71" s="141">
        <v>0</v>
      </c>
      <c r="AG71" s="141">
        <v>0</v>
      </c>
      <c r="AH71" s="141">
        <v>0</v>
      </c>
      <c r="AI71" s="141">
        <v>0</v>
      </c>
      <c r="AJ71" s="141">
        <v>0</v>
      </c>
      <c r="AK71" s="141"/>
      <c r="AL71" s="141">
        <v>0</v>
      </c>
      <c r="AM71" s="141">
        <v>0</v>
      </c>
      <c r="AN71" s="141">
        <v>0</v>
      </c>
      <c r="AO71" s="142"/>
      <c r="AP71" s="137">
        <f t="shared" si="6"/>
        <v>204</v>
      </c>
    </row>
    <row r="72" spans="1:42" s="137" customFormat="1" ht="22.5" customHeight="1">
      <c r="A72" s="123">
        <f t="shared" si="1"/>
        <v>54</v>
      </c>
      <c r="B72" s="28" t="s">
        <v>378</v>
      </c>
      <c r="C72" s="29" t="s">
        <v>379</v>
      </c>
      <c r="D72" s="30" t="s">
        <v>12</v>
      </c>
      <c r="E72" s="38">
        <f t="shared" si="2"/>
        <v>1</v>
      </c>
      <c r="F72" s="39">
        <f t="shared" si="5"/>
        <v>1</v>
      </c>
      <c r="G72" s="64">
        <v>1502.31</v>
      </c>
      <c r="H72" s="33">
        <f t="shared" si="3"/>
        <v>1503</v>
      </c>
      <c r="I72" s="135">
        <f t="shared" si="0"/>
        <v>1503</v>
      </c>
      <c r="J72" s="136"/>
      <c r="K72" s="33"/>
      <c r="M72" s="138"/>
      <c r="O72" s="128"/>
      <c r="P72" s="128"/>
      <c r="Q72" s="157">
        <v>0</v>
      </c>
      <c r="R72" s="157">
        <v>0</v>
      </c>
      <c r="S72" s="157">
        <v>0</v>
      </c>
      <c r="T72" s="157">
        <v>0</v>
      </c>
      <c r="U72" s="141">
        <v>0</v>
      </c>
      <c r="V72" s="141">
        <v>0</v>
      </c>
      <c r="W72" s="141">
        <v>0</v>
      </c>
      <c r="X72" s="141">
        <v>0</v>
      </c>
      <c r="Y72" s="141">
        <v>0</v>
      </c>
      <c r="Z72" s="141">
        <v>0</v>
      </c>
      <c r="AA72" s="141">
        <v>0</v>
      </c>
      <c r="AB72" s="141">
        <v>0</v>
      </c>
      <c r="AC72" s="141">
        <v>0</v>
      </c>
      <c r="AD72" s="141">
        <v>0</v>
      </c>
      <c r="AE72" s="141">
        <v>0</v>
      </c>
      <c r="AF72" s="141">
        <v>0</v>
      </c>
      <c r="AG72" s="141">
        <v>0</v>
      </c>
      <c r="AH72" s="141">
        <v>0</v>
      </c>
      <c r="AI72" s="141">
        <v>0</v>
      </c>
      <c r="AJ72" s="141">
        <v>0</v>
      </c>
      <c r="AK72" s="141"/>
      <c r="AL72" s="141">
        <v>0</v>
      </c>
      <c r="AM72" s="141">
        <v>0</v>
      </c>
      <c r="AN72" s="141">
        <v>0</v>
      </c>
      <c r="AO72" s="142">
        <v>1</v>
      </c>
      <c r="AP72" s="137">
        <f t="shared" si="6"/>
        <v>1</v>
      </c>
    </row>
    <row r="73" spans="1:42" s="137" customFormat="1" ht="22.5" customHeight="1">
      <c r="A73" s="123">
        <f t="shared" si="1"/>
        <v>55</v>
      </c>
      <c r="B73" s="28" t="s">
        <v>353</v>
      </c>
      <c r="C73" s="29" t="s">
        <v>348</v>
      </c>
      <c r="D73" s="30" t="s">
        <v>12</v>
      </c>
      <c r="E73" s="38">
        <f t="shared" si="2"/>
        <v>4</v>
      </c>
      <c r="F73" s="39">
        <f t="shared" si="5"/>
        <v>4</v>
      </c>
      <c r="G73" s="64">
        <v>1937.83</v>
      </c>
      <c r="H73" s="33">
        <f t="shared" si="3"/>
        <v>1938</v>
      </c>
      <c r="I73" s="135">
        <f t="shared" si="0"/>
        <v>7752</v>
      </c>
      <c r="J73" s="136"/>
      <c r="K73" s="33"/>
      <c r="M73" s="138"/>
      <c r="O73" s="128"/>
      <c r="P73" s="128"/>
      <c r="Q73" s="157">
        <v>0</v>
      </c>
      <c r="R73" s="157">
        <v>0</v>
      </c>
      <c r="S73" s="157">
        <v>0</v>
      </c>
      <c r="T73" s="157">
        <v>0</v>
      </c>
      <c r="U73" s="141">
        <v>0</v>
      </c>
      <c r="V73" s="141">
        <v>0</v>
      </c>
      <c r="W73" s="141">
        <v>0</v>
      </c>
      <c r="X73" s="141">
        <v>0</v>
      </c>
      <c r="Y73" s="141">
        <v>0</v>
      </c>
      <c r="Z73" s="141">
        <v>0</v>
      </c>
      <c r="AA73" s="141">
        <v>0</v>
      </c>
      <c r="AB73" s="141">
        <v>0</v>
      </c>
      <c r="AC73" s="141">
        <v>0</v>
      </c>
      <c r="AD73" s="141">
        <v>0</v>
      </c>
      <c r="AE73" s="141">
        <v>0</v>
      </c>
      <c r="AF73" s="141">
        <v>0</v>
      </c>
      <c r="AG73" s="141">
        <v>0</v>
      </c>
      <c r="AH73" s="141">
        <v>4</v>
      </c>
      <c r="AI73" s="141">
        <v>0</v>
      </c>
      <c r="AJ73" s="141">
        <v>0</v>
      </c>
      <c r="AK73" s="141"/>
      <c r="AL73" s="141">
        <v>0</v>
      </c>
      <c r="AM73" s="141">
        <v>0</v>
      </c>
      <c r="AN73" s="141">
        <v>0</v>
      </c>
      <c r="AO73" s="142"/>
      <c r="AP73" s="137">
        <f t="shared" si="6"/>
        <v>4</v>
      </c>
    </row>
    <row r="74" spans="1:42" s="137" customFormat="1" ht="22.5" customHeight="1">
      <c r="A74" s="123">
        <f t="shared" si="1"/>
        <v>56</v>
      </c>
      <c r="B74" s="28" t="s">
        <v>380</v>
      </c>
      <c r="C74" s="29" t="s">
        <v>468</v>
      </c>
      <c r="D74" s="30" t="s">
        <v>12</v>
      </c>
      <c r="E74" s="38">
        <f t="shared" si="2"/>
        <v>10</v>
      </c>
      <c r="F74" s="39">
        <f t="shared" si="5"/>
        <v>10</v>
      </c>
      <c r="G74" s="64">
        <v>500</v>
      </c>
      <c r="H74" s="33">
        <f t="shared" si="3"/>
        <v>500</v>
      </c>
      <c r="I74" s="135">
        <f t="shared" si="0"/>
        <v>5000</v>
      </c>
      <c r="J74" s="136"/>
      <c r="K74" s="33"/>
      <c r="M74" s="138"/>
      <c r="O74" s="128"/>
      <c r="P74" s="128"/>
      <c r="Q74" s="157">
        <v>0</v>
      </c>
      <c r="R74" s="157">
        <v>0</v>
      </c>
      <c r="S74" s="157">
        <v>0</v>
      </c>
      <c r="T74" s="157">
        <v>0</v>
      </c>
      <c r="U74" s="141">
        <v>0</v>
      </c>
      <c r="V74" s="141">
        <v>0</v>
      </c>
      <c r="W74" s="141">
        <v>0</v>
      </c>
      <c r="X74" s="141">
        <v>0</v>
      </c>
      <c r="Y74" s="141">
        <v>0</v>
      </c>
      <c r="Z74" s="141">
        <v>0</v>
      </c>
      <c r="AA74" s="141">
        <v>0</v>
      </c>
      <c r="AB74" s="141">
        <v>0</v>
      </c>
      <c r="AC74" s="141">
        <v>0</v>
      </c>
      <c r="AD74" s="141">
        <v>0</v>
      </c>
      <c r="AE74" s="141">
        <v>1</v>
      </c>
      <c r="AF74" s="141">
        <v>0</v>
      </c>
      <c r="AG74" s="141">
        <v>0</v>
      </c>
      <c r="AH74" s="141">
        <v>0</v>
      </c>
      <c r="AI74" s="141">
        <v>0</v>
      </c>
      <c r="AJ74" s="141">
        <v>0</v>
      </c>
      <c r="AK74" s="141"/>
      <c r="AL74" s="141">
        <v>8</v>
      </c>
      <c r="AM74" s="141">
        <v>1</v>
      </c>
      <c r="AN74" s="141">
        <v>0</v>
      </c>
      <c r="AO74" s="142"/>
      <c r="AP74" s="137">
        <f t="shared" si="6"/>
        <v>10</v>
      </c>
    </row>
    <row r="75" spans="1:42" s="137" customFormat="1" ht="22.5" customHeight="1">
      <c r="A75" s="123">
        <f t="shared" si="1"/>
        <v>57</v>
      </c>
      <c r="B75" s="28" t="s">
        <v>381</v>
      </c>
      <c r="C75" s="29" t="s">
        <v>469</v>
      </c>
      <c r="D75" s="30" t="s">
        <v>12</v>
      </c>
      <c r="E75" s="38">
        <f t="shared" si="2"/>
        <v>1</v>
      </c>
      <c r="F75" s="39">
        <f t="shared" si="5"/>
        <v>1</v>
      </c>
      <c r="G75" s="64">
        <v>2449.99</v>
      </c>
      <c r="H75" s="33">
        <f t="shared" si="3"/>
        <v>2450</v>
      </c>
      <c r="I75" s="135">
        <f t="shared" si="0"/>
        <v>2450</v>
      </c>
      <c r="J75" s="136"/>
      <c r="K75" s="33"/>
      <c r="M75" s="138"/>
      <c r="O75" s="128"/>
      <c r="P75" s="128"/>
      <c r="Q75" s="157">
        <v>0</v>
      </c>
      <c r="R75" s="157">
        <v>0</v>
      </c>
      <c r="S75" s="157">
        <v>0</v>
      </c>
      <c r="T75" s="157">
        <v>0</v>
      </c>
      <c r="U75" s="141">
        <v>0</v>
      </c>
      <c r="V75" s="141">
        <v>0</v>
      </c>
      <c r="W75" s="141">
        <v>0</v>
      </c>
      <c r="X75" s="141">
        <v>0</v>
      </c>
      <c r="Y75" s="141">
        <v>0</v>
      </c>
      <c r="Z75" s="141">
        <v>0</v>
      </c>
      <c r="AA75" s="141">
        <v>1</v>
      </c>
      <c r="AB75" s="141">
        <v>0</v>
      </c>
      <c r="AC75" s="141">
        <v>0</v>
      </c>
      <c r="AD75" s="141">
        <v>0</v>
      </c>
      <c r="AE75" s="141">
        <v>0</v>
      </c>
      <c r="AF75" s="141">
        <v>0</v>
      </c>
      <c r="AG75" s="141">
        <v>0</v>
      </c>
      <c r="AH75" s="141">
        <v>0</v>
      </c>
      <c r="AI75" s="141">
        <v>0</v>
      </c>
      <c r="AJ75" s="141">
        <v>0</v>
      </c>
      <c r="AK75" s="141"/>
      <c r="AL75" s="141">
        <v>0</v>
      </c>
      <c r="AM75" s="141">
        <v>0</v>
      </c>
      <c r="AN75" s="141">
        <v>0</v>
      </c>
      <c r="AO75" s="142"/>
      <c r="AP75" s="137">
        <f t="shared" si="6"/>
        <v>1</v>
      </c>
    </row>
    <row r="76" spans="1:42" s="137" customFormat="1" ht="22.5" customHeight="1">
      <c r="A76" s="123">
        <f t="shared" si="1"/>
        <v>58</v>
      </c>
      <c r="B76" s="28" t="s">
        <v>503</v>
      </c>
      <c r="C76" s="29" t="s">
        <v>502</v>
      </c>
      <c r="D76" s="30" t="s">
        <v>12</v>
      </c>
      <c r="E76" s="38">
        <f t="shared" si="2"/>
        <v>1</v>
      </c>
      <c r="F76" s="39">
        <f t="shared" si="5"/>
        <v>1</v>
      </c>
      <c r="G76" s="64">
        <v>2547.3</v>
      </c>
      <c r="H76" s="33">
        <f t="shared" si="3"/>
        <v>2548</v>
      </c>
      <c r="I76" s="135">
        <f t="shared" si="0"/>
        <v>2548</v>
      </c>
      <c r="J76" s="136"/>
      <c r="K76" s="33"/>
      <c r="M76" s="138"/>
      <c r="O76" s="128"/>
      <c r="P76" s="128"/>
      <c r="Q76" s="157">
        <v>0</v>
      </c>
      <c r="R76" s="157">
        <v>0</v>
      </c>
      <c r="S76" s="157">
        <v>0</v>
      </c>
      <c r="T76" s="157">
        <v>0</v>
      </c>
      <c r="U76" s="141">
        <v>0</v>
      </c>
      <c r="V76" s="141">
        <v>0</v>
      </c>
      <c r="W76" s="141">
        <v>0</v>
      </c>
      <c r="X76" s="141">
        <v>0</v>
      </c>
      <c r="Y76" s="141">
        <v>0</v>
      </c>
      <c r="Z76" s="141">
        <v>0</v>
      </c>
      <c r="AA76" s="141">
        <v>1</v>
      </c>
      <c r="AB76" s="141">
        <v>0</v>
      </c>
      <c r="AC76" s="141">
        <v>0</v>
      </c>
      <c r="AD76" s="141">
        <v>0</v>
      </c>
      <c r="AE76" s="141">
        <v>0</v>
      </c>
      <c r="AF76" s="141">
        <v>0</v>
      </c>
      <c r="AG76" s="141">
        <v>0</v>
      </c>
      <c r="AH76" s="141">
        <v>0</v>
      </c>
      <c r="AI76" s="141">
        <v>0</v>
      </c>
      <c r="AJ76" s="141">
        <v>0</v>
      </c>
      <c r="AK76" s="141"/>
      <c r="AL76" s="141">
        <v>0</v>
      </c>
      <c r="AM76" s="141">
        <v>0</v>
      </c>
      <c r="AN76" s="141">
        <v>0</v>
      </c>
      <c r="AO76" s="142"/>
      <c r="AP76" s="137">
        <f t="shared" si="6"/>
        <v>1</v>
      </c>
    </row>
    <row r="77" spans="1:42" s="137" customFormat="1" ht="22.5" customHeight="1">
      <c r="A77" s="123">
        <f t="shared" si="1"/>
        <v>59</v>
      </c>
      <c r="B77" s="28" t="s">
        <v>504</v>
      </c>
      <c r="C77" s="29" t="s">
        <v>505</v>
      </c>
      <c r="D77" s="30" t="s">
        <v>12</v>
      </c>
      <c r="E77" s="38">
        <f t="shared" si="2"/>
        <v>2</v>
      </c>
      <c r="F77" s="39">
        <f t="shared" si="5"/>
        <v>2</v>
      </c>
      <c r="G77" s="64">
        <v>5517.99</v>
      </c>
      <c r="H77" s="33">
        <f t="shared" si="3"/>
        <v>5518</v>
      </c>
      <c r="I77" s="135">
        <f t="shared" si="0"/>
        <v>11036</v>
      </c>
      <c r="J77" s="136"/>
      <c r="K77" s="33"/>
      <c r="M77" s="138"/>
      <c r="O77" s="128"/>
      <c r="P77" s="128"/>
      <c r="Q77" s="157">
        <v>0</v>
      </c>
      <c r="R77" s="157">
        <v>0</v>
      </c>
      <c r="S77" s="157">
        <v>0</v>
      </c>
      <c r="T77" s="157">
        <v>0</v>
      </c>
      <c r="U77" s="141">
        <v>0</v>
      </c>
      <c r="V77" s="141">
        <v>0</v>
      </c>
      <c r="W77" s="141">
        <v>0</v>
      </c>
      <c r="X77" s="141">
        <v>0</v>
      </c>
      <c r="Y77" s="141">
        <v>0</v>
      </c>
      <c r="Z77" s="141">
        <v>0</v>
      </c>
      <c r="AA77" s="141">
        <v>0</v>
      </c>
      <c r="AB77" s="141">
        <v>0</v>
      </c>
      <c r="AC77" s="141">
        <v>0</v>
      </c>
      <c r="AD77" s="141">
        <v>0</v>
      </c>
      <c r="AE77" s="141">
        <v>0</v>
      </c>
      <c r="AF77" s="141">
        <v>0</v>
      </c>
      <c r="AG77" s="141">
        <v>2</v>
      </c>
      <c r="AH77" s="141">
        <v>0</v>
      </c>
      <c r="AI77" s="141">
        <v>0</v>
      </c>
      <c r="AJ77" s="141">
        <v>0</v>
      </c>
      <c r="AK77" s="141"/>
      <c r="AL77" s="141">
        <v>0</v>
      </c>
      <c r="AM77" s="141">
        <v>0</v>
      </c>
      <c r="AN77" s="141">
        <v>0</v>
      </c>
      <c r="AO77" s="142"/>
      <c r="AP77" s="137">
        <f t="shared" si="6"/>
        <v>2</v>
      </c>
    </row>
    <row r="78" spans="1:42" s="137" customFormat="1" ht="22.5" customHeight="1">
      <c r="A78" s="123">
        <f t="shared" si="1"/>
        <v>60</v>
      </c>
      <c r="B78" s="28" t="s">
        <v>383</v>
      </c>
      <c r="C78" s="29" t="s">
        <v>471</v>
      </c>
      <c r="D78" s="30" t="s">
        <v>12</v>
      </c>
      <c r="E78" s="38">
        <f t="shared" si="2"/>
        <v>2</v>
      </c>
      <c r="F78" s="39">
        <f t="shared" si="5"/>
        <v>2</v>
      </c>
      <c r="G78" s="64">
        <v>7000</v>
      </c>
      <c r="H78" s="33">
        <f t="shared" si="3"/>
        <v>7000</v>
      </c>
      <c r="I78" s="135">
        <f t="shared" si="0"/>
        <v>14000</v>
      </c>
      <c r="J78" s="136"/>
      <c r="K78" s="33"/>
      <c r="M78" s="138"/>
      <c r="O78" s="128"/>
      <c r="P78" s="128"/>
      <c r="Q78" s="157">
        <v>1</v>
      </c>
      <c r="R78" s="157">
        <v>1</v>
      </c>
      <c r="S78" s="157">
        <v>0</v>
      </c>
      <c r="T78" s="157">
        <v>0</v>
      </c>
      <c r="U78" s="141">
        <v>0</v>
      </c>
      <c r="V78" s="141">
        <v>0</v>
      </c>
      <c r="W78" s="141">
        <v>0</v>
      </c>
      <c r="X78" s="141">
        <v>0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41">
        <v>0</v>
      </c>
      <c r="AE78" s="141">
        <v>0</v>
      </c>
      <c r="AF78" s="141">
        <v>0</v>
      </c>
      <c r="AG78" s="141">
        <v>0</v>
      </c>
      <c r="AH78" s="141">
        <v>0</v>
      </c>
      <c r="AI78" s="141">
        <v>0</v>
      </c>
      <c r="AJ78" s="141">
        <v>0</v>
      </c>
      <c r="AK78" s="141"/>
      <c r="AL78" s="141">
        <v>0</v>
      </c>
      <c r="AM78" s="141">
        <v>0</v>
      </c>
      <c r="AN78" s="141">
        <v>0</v>
      </c>
      <c r="AO78" s="142"/>
      <c r="AP78" s="137">
        <f t="shared" si="6"/>
        <v>2</v>
      </c>
    </row>
    <row r="79" spans="1:42" s="137" customFormat="1" ht="22.5" customHeight="1">
      <c r="A79" s="123">
        <f t="shared" si="1"/>
        <v>61</v>
      </c>
      <c r="B79" s="28" t="s">
        <v>508</v>
      </c>
      <c r="C79" s="29" t="s">
        <v>499</v>
      </c>
      <c r="D79" s="30" t="s">
        <v>11</v>
      </c>
      <c r="E79" s="38">
        <f t="shared" si="2"/>
        <v>1475</v>
      </c>
      <c r="F79" s="39">
        <f>E79</f>
        <v>1475</v>
      </c>
      <c r="G79" s="64">
        <v>82.22</v>
      </c>
      <c r="H79" s="33">
        <f t="shared" si="3"/>
        <v>83</v>
      </c>
      <c r="I79" s="135">
        <f>ROUNDUP(F79*H79,0)</f>
        <v>122425</v>
      </c>
      <c r="J79" s="136"/>
      <c r="K79" s="33"/>
      <c r="M79" s="138"/>
      <c r="O79" s="128"/>
      <c r="P79" s="128"/>
      <c r="Q79" s="157">
        <v>0</v>
      </c>
      <c r="R79" s="157">
        <v>0</v>
      </c>
      <c r="S79" s="157">
        <v>0</v>
      </c>
      <c r="T79" s="157">
        <v>0</v>
      </c>
      <c r="U79" s="141">
        <v>0</v>
      </c>
      <c r="V79" s="141">
        <f>59+57+139+127+59+69</f>
        <v>510</v>
      </c>
      <c r="W79" s="141">
        <v>0</v>
      </c>
      <c r="X79" s="141">
        <v>0</v>
      </c>
      <c r="Y79" s="141">
        <v>0</v>
      </c>
      <c r="Z79" s="141">
        <v>0</v>
      </c>
      <c r="AA79" s="141">
        <v>0</v>
      </c>
      <c r="AB79" s="141">
        <f>221+171+199+176</f>
        <v>767</v>
      </c>
      <c r="AC79" s="141">
        <v>0</v>
      </c>
      <c r="AD79" s="141">
        <f>99+99</f>
        <v>198</v>
      </c>
      <c r="AE79" s="141">
        <v>0</v>
      </c>
      <c r="AF79" s="141">
        <v>0</v>
      </c>
      <c r="AG79" s="141">
        <v>0</v>
      </c>
      <c r="AH79" s="141">
        <v>0</v>
      </c>
      <c r="AI79" s="141">
        <v>0</v>
      </c>
      <c r="AJ79" s="141">
        <v>0</v>
      </c>
      <c r="AK79" s="141"/>
      <c r="AL79" s="141">
        <v>0</v>
      </c>
      <c r="AM79" s="141">
        <v>0</v>
      </c>
      <c r="AN79" s="141">
        <v>0</v>
      </c>
      <c r="AO79" s="142"/>
      <c r="AP79" s="137">
        <f t="shared" si="6"/>
        <v>1475</v>
      </c>
    </row>
    <row r="80" spans="1:42" s="137" customFormat="1" ht="22.5" customHeight="1">
      <c r="A80" s="123">
        <f t="shared" si="1"/>
        <v>62</v>
      </c>
      <c r="B80" s="28" t="s">
        <v>59</v>
      </c>
      <c r="C80" s="29" t="s">
        <v>60</v>
      </c>
      <c r="D80" s="30" t="s">
        <v>11</v>
      </c>
      <c r="E80" s="38">
        <f t="shared" si="2"/>
        <v>250</v>
      </c>
      <c r="F80" s="39">
        <f t="shared" si="5"/>
        <v>250</v>
      </c>
      <c r="G80" s="64">
        <v>78.62</v>
      </c>
      <c r="H80" s="33">
        <f t="shared" si="3"/>
        <v>79</v>
      </c>
      <c r="I80" s="135">
        <f t="shared" si="0"/>
        <v>19750</v>
      </c>
      <c r="J80" s="136"/>
      <c r="K80" s="33"/>
      <c r="M80" s="138"/>
      <c r="O80" s="128"/>
      <c r="P80" s="128"/>
      <c r="Q80" s="157">
        <v>0</v>
      </c>
      <c r="R80" s="157">
        <v>0</v>
      </c>
      <c r="S80" s="157">
        <v>10</v>
      </c>
      <c r="T80" s="157">
        <v>30</v>
      </c>
      <c r="U80" s="141">
        <v>40</v>
      </c>
      <c r="V80" s="141">
        <v>20</v>
      </c>
      <c r="W80" s="141">
        <v>10</v>
      </c>
      <c r="X80" s="141">
        <v>0</v>
      </c>
      <c r="Y80" s="141">
        <v>20</v>
      </c>
      <c r="Z80" s="141">
        <v>40</v>
      </c>
      <c r="AA80" s="141">
        <v>30</v>
      </c>
      <c r="AB80" s="141">
        <v>0</v>
      </c>
      <c r="AC80" s="141">
        <v>0</v>
      </c>
      <c r="AD80" s="141">
        <v>0</v>
      </c>
      <c r="AE80" s="141">
        <v>20</v>
      </c>
      <c r="AF80" s="141">
        <v>20</v>
      </c>
      <c r="AG80" s="141">
        <v>10</v>
      </c>
      <c r="AH80" s="141">
        <v>0</v>
      </c>
      <c r="AI80" s="141">
        <v>0</v>
      </c>
      <c r="AJ80" s="141">
        <v>0</v>
      </c>
      <c r="AK80" s="141"/>
      <c r="AL80" s="141">
        <v>0</v>
      </c>
      <c r="AM80" s="141">
        <v>0</v>
      </c>
      <c r="AN80" s="141">
        <v>0</v>
      </c>
      <c r="AO80" s="142">
        <v>0</v>
      </c>
      <c r="AP80" s="137">
        <f t="shared" si="6"/>
        <v>250</v>
      </c>
    </row>
    <row r="81" spans="1:42" s="137" customFormat="1" ht="22.5" customHeight="1">
      <c r="A81" s="123">
        <f t="shared" si="1"/>
        <v>63</v>
      </c>
      <c r="B81" s="28" t="s">
        <v>33</v>
      </c>
      <c r="C81" s="29" t="s">
        <v>47</v>
      </c>
      <c r="D81" s="30" t="s">
        <v>11</v>
      </c>
      <c r="E81" s="38">
        <f t="shared" si="2"/>
        <v>24269</v>
      </c>
      <c r="F81" s="39">
        <f t="shared" si="5"/>
        <v>24269</v>
      </c>
      <c r="G81" s="64">
        <v>29.09</v>
      </c>
      <c r="H81" s="33">
        <f t="shared" si="3"/>
        <v>30</v>
      </c>
      <c r="I81" s="135">
        <f t="shared" si="0"/>
        <v>728070</v>
      </c>
      <c r="J81" s="136"/>
      <c r="K81" s="33"/>
      <c r="M81" s="138"/>
      <c r="O81" s="128"/>
      <c r="P81" s="128"/>
      <c r="Q81" s="157">
        <f>399.75+277.49</f>
        <v>677.24</v>
      </c>
      <c r="R81" s="157">
        <f>186.82+185.59+163.21+376.25</f>
        <v>911.87</v>
      </c>
      <c r="S81" s="157">
        <f>580+580+580.17</f>
        <v>1740.17</v>
      </c>
      <c r="T81" s="157">
        <f>293.65+392.95+242.02+594.09</f>
        <v>1522.71</v>
      </c>
      <c r="U81" s="141">
        <f>579.55+580.45</f>
        <v>1160</v>
      </c>
      <c r="V81" s="141">
        <f>580.57+579.43</f>
        <v>1160</v>
      </c>
      <c r="W81" s="141">
        <f>581.99+579.86</f>
        <v>1161.85</v>
      </c>
      <c r="X81" s="141">
        <f>95.57+59.86+364.25+881.09+176.4</f>
        <v>1577.17</v>
      </c>
      <c r="Y81" s="141">
        <f>270.09+193.73+101.78+102.48+670.35</f>
        <v>1338.4299999999998</v>
      </c>
      <c r="Z81" s="141">
        <f>581.36+580.66</f>
        <v>1162.02</v>
      </c>
      <c r="AA81" s="141">
        <f>580.56+579.44</f>
        <v>1160</v>
      </c>
      <c r="AB81" s="141">
        <f>579.49+580.51</f>
        <v>1160</v>
      </c>
      <c r="AC81" s="141">
        <f>581.21+580.21</f>
        <v>1161.42</v>
      </c>
      <c r="AD81" s="141">
        <f>91.81+38.01+81.68+83.44+804.98</f>
        <v>1099.92</v>
      </c>
      <c r="AE81" s="141">
        <f>570.46+460.67+217.79+29.96+248.15</f>
        <v>1527.0300000000002</v>
      </c>
      <c r="AF81" s="141">
        <f>581.42+581.42+69.72+18.41</f>
        <v>1250.97</v>
      </c>
      <c r="AG81" s="141">
        <f>167.35+738.3+68.29+160.95+66.34+89.37+87.21</f>
        <v>1377.81</v>
      </c>
      <c r="AH81" s="141">
        <f>580.27+581.42</f>
        <v>1161.69</v>
      </c>
      <c r="AI81" s="141">
        <f>1058.33+104.02+95.44</f>
        <v>1257.79</v>
      </c>
      <c r="AJ81" s="141">
        <f>102.59+102.59</f>
        <v>205.18</v>
      </c>
      <c r="AK81" s="141"/>
      <c r="AL81" s="141">
        <v>0</v>
      </c>
      <c r="AM81" s="141">
        <f>142.02+353.6</f>
        <v>495.62</v>
      </c>
      <c r="AN81" s="141">
        <v>0</v>
      </c>
      <c r="AO81" s="142"/>
      <c r="AP81" s="137">
        <f t="shared" si="6"/>
        <v>24268.890000000003</v>
      </c>
    </row>
    <row r="82" spans="1:42" s="137" customFormat="1" ht="22.5" customHeight="1">
      <c r="A82" s="123">
        <f t="shared" si="1"/>
        <v>64</v>
      </c>
      <c r="B82" s="28" t="s">
        <v>472</v>
      </c>
      <c r="C82" s="29" t="s">
        <v>473</v>
      </c>
      <c r="D82" s="30" t="s">
        <v>11</v>
      </c>
      <c r="E82" s="38">
        <f t="shared" si="2"/>
        <v>171</v>
      </c>
      <c r="F82" s="39">
        <f t="shared" si="5"/>
        <v>171</v>
      </c>
      <c r="G82" s="64">
        <v>30.48</v>
      </c>
      <c r="H82" s="33">
        <f t="shared" si="3"/>
        <v>31</v>
      </c>
      <c r="I82" s="135">
        <f t="shared" si="0"/>
        <v>5301</v>
      </c>
      <c r="J82" s="136"/>
      <c r="K82" s="33"/>
      <c r="M82" s="138"/>
      <c r="O82" s="128"/>
      <c r="P82" s="128"/>
      <c r="Q82" s="157">
        <v>0</v>
      </c>
      <c r="R82" s="157">
        <v>0</v>
      </c>
      <c r="S82" s="157">
        <v>0</v>
      </c>
      <c r="T82" s="157">
        <v>170.33</v>
      </c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0</v>
      </c>
      <c r="AI82" s="141">
        <v>0</v>
      </c>
      <c r="AJ82" s="141">
        <v>0</v>
      </c>
      <c r="AK82" s="141"/>
      <c r="AL82" s="141">
        <v>0</v>
      </c>
      <c r="AM82" s="141">
        <v>0</v>
      </c>
      <c r="AN82" s="141">
        <v>0</v>
      </c>
      <c r="AO82" s="142"/>
      <c r="AP82" s="137">
        <f t="shared" si="6"/>
        <v>170.33</v>
      </c>
    </row>
    <row r="83" spans="1:42" s="137" customFormat="1" ht="22.5" customHeight="1">
      <c r="A83" s="123">
        <f t="shared" si="1"/>
        <v>65</v>
      </c>
      <c r="B83" s="28">
        <v>201.3</v>
      </c>
      <c r="C83" s="29" t="s">
        <v>474</v>
      </c>
      <c r="D83" s="30" t="s">
        <v>11</v>
      </c>
      <c r="E83" s="38">
        <f t="shared" si="2"/>
        <v>373</v>
      </c>
      <c r="F83" s="39">
        <f t="shared" si="5"/>
        <v>373</v>
      </c>
      <c r="G83" s="64">
        <v>20</v>
      </c>
      <c r="H83" s="33">
        <f t="shared" si="3"/>
        <v>20</v>
      </c>
      <c r="I83" s="135">
        <f t="shared" si="0"/>
        <v>7460</v>
      </c>
      <c r="J83" s="136"/>
      <c r="K83" s="33"/>
      <c r="M83" s="138"/>
      <c r="O83" s="128"/>
      <c r="P83" s="128"/>
      <c r="Q83" s="157">
        <v>0</v>
      </c>
      <c r="R83" s="157">
        <v>0</v>
      </c>
      <c r="S83" s="157">
        <v>0</v>
      </c>
      <c r="T83" s="157">
        <v>0</v>
      </c>
      <c r="U83" s="141">
        <v>0</v>
      </c>
      <c r="V83" s="141">
        <v>0</v>
      </c>
      <c r="W83" s="141">
        <v>0</v>
      </c>
      <c r="X83" s="141">
        <v>126.73</v>
      </c>
      <c r="Y83" s="141">
        <v>0</v>
      </c>
      <c r="Z83" s="141">
        <v>0</v>
      </c>
      <c r="AA83" s="141">
        <v>0</v>
      </c>
      <c r="AB83" s="141">
        <v>0</v>
      </c>
      <c r="AC83" s="141">
        <v>0</v>
      </c>
      <c r="AD83" s="141">
        <v>142.67</v>
      </c>
      <c r="AE83" s="141">
        <v>0</v>
      </c>
      <c r="AF83" s="141">
        <v>0</v>
      </c>
      <c r="AG83" s="141">
        <v>102.62</v>
      </c>
      <c r="AH83" s="141">
        <v>0</v>
      </c>
      <c r="AI83" s="141">
        <v>0</v>
      </c>
      <c r="AJ83" s="141">
        <v>0</v>
      </c>
      <c r="AK83" s="141"/>
      <c r="AL83" s="141">
        <v>0</v>
      </c>
      <c r="AM83" s="141">
        <v>0</v>
      </c>
      <c r="AN83" s="141">
        <v>0</v>
      </c>
      <c r="AO83" s="142"/>
      <c r="AP83" s="137">
        <f t="shared" si="6"/>
        <v>372.02</v>
      </c>
    </row>
    <row r="84" spans="1:42" s="137" customFormat="1" ht="22.5" customHeight="1">
      <c r="A84" s="123">
        <f t="shared" si="1"/>
        <v>66</v>
      </c>
      <c r="B84" s="28" t="s">
        <v>29</v>
      </c>
      <c r="C84" s="29" t="s">
        <v>50</v>
      </c>
      <c r="D84" s="30" t="s">
        <v>30</v>
      </c>
      <c r="E84" s="38">
        <f t="shared" si="2"/>
        <v>844</v>
      </c>
      <c r="F84" s="39">
        <f t="shared" si="5"/>
        <v>844</v>
      </c>
      <c r="G84" s="64">
        <v>28.85</v>
      </c>
      <c r="H84" s="33">
        <f t="shared" si="3"/>
        <v>29</v>
      </c>
      <c r="I84" s="135">
        <f t="shared" si="0"/>
        <v>24476</v>
      </c>
      <c r="J84" s="136"/>
      <c r="K84" s="33"/>
      <c r="M84" s="138"/>
      <c r="O84" s="128"/>
      <c r="P84" s="128"/>
      <c r="Q84" s="157"/>
      <c r="R84" s="157">
        <f>31.11+17.82+12.4+12+12.34+36.27+17.95+17.72</f>
        <v>157.60999999999999</v>
      </c>
      <c r="S84" s="157"/>
      <c r="T84" s="157">
        <f>12.3+12.35+30.86+30.9</f>
        <v>86.41</v>
      </c>
      <c r="U84" s="141"/>
      <c r="V84" s="141"/>
      <c r="W84" s="141"/>
      <c r="X84" s="141">
        <f>27.41+32.76</f>
        <v>60.17</v>
      </c>
      <c r="Y84" s="141">
        <f>11.36+9.81+13.73+17.68+33.22+43.14</f>
        <v>128.94</v>
      </c>
      <c r="Z84" s="141"/>
      <c r="AA84" s="141">
        <f>32.13+32.13</f>
        <v>64.26</v>
      </c>
      <c r="AB84" s="141"/>
      <c r="AC84" s="141"/>
      <c r="AD84" s="141">
        <f>12+12+12+12+12+16.93+12.21+25.99+37.52+12.46</f>
        <v>165.11</v>
      </c>
      <c r="AE84" s="141"/>
      <c r="AF84" s="141"/>
      <c r="AG84" s="141">
        <f>17.14+10.92+12.69+26.1+28.56+13.58+24.82+18.07</f>
        <v>151.88</v>
      </c>
      <c r="AH84" s="141"/>
      <c r="AI84" s="141">
        <v>29.36</v>
      </c>
      <c r="AJ84" s="141"/>
      <c r="AK84" s="141"/>
      <c r="AL84" s="141"/>
      <c r="AM84" s="141"/>
      <c r="AN84" s="141"/>
      <c r="AO84" s="142"/>
      <c r="AP84" s="137">
        <f t="shared" si="6"/>
        <v>843.74</v>
      </c>
    </row>
    <row r="85" spans="1:42" s="137" customFormat="1" ht="22.5" customHeight="1">
      <c r="A85" s="123">
        <f t="shared" si="1"/>
        <v>67</v>
      </c>
      <c r="B85" s="28" t="s">
        <v>139</v>
      </c>
      <c r="C85" s="29" t="s">
        <v>140</v>
      </c>
      <c r="D85" s="30" t="s">
        <v>11</v>
      </c>
      <c r="E85" s="38">
        <v>2570</v>
      </c>
      <c r="F85" s="39">
        <f t="shared" si="5"/>
        <v>2570</v>
      </c>
      <c r="G85" s="64">
        <v>31.1</v>
      </c>
      <c r="H85" s="33">
        <f t="shared" si="3"/>
        <v>32</v>
      </c>
      <c r="I85" s="135">
        <f t="shared" si="0"/>
        <v>82240</v>
      </c>
      <c r="J85" s="136"/>
      <c r="K85" s="33"/>
      <c r="M85" s="138"/>
      <c r="O85" s="128"/>
      <c r="P85" s="128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2"/>
      <c r="AP85" s="137">
        <f t="shared" si="6"/>
        <v>0</v>
      </c>
    </row>
    <row r="86" spans="1:42" s="137" customFormat="1" ht="22.5" customHeight="1">
      <c r="A86" s="123">
        <f t="shared" si="1"/>
        <v>68</v>
      </c>
      <c r="B86" s="28" t="s">
        <v>28</v>
      </c>
      <c r="C86" s="29" t="s">
        <v>48</v>
      </c>
      <c r="D86" s="30" t="s">
        <v>10</v>
      </c>
      <c r="E86" s="38">
        <f t="shared" si="2"/>
        <v>5943</v>
      </c>
      <c r="F86" s="39">
        <f t="shared" si="5"/>
        <v>5943</v>
      </c>
      <c r="G86" s="64">
        <v>46.57</v>
      </c>
      <c r="H86" s="33">
        <f>_xlfn.CEILING.MATH(G86*(1+$K$9),1)</f>
        <v>47</v>
      </c>
      <c r="I86" s="135">
        <f t="shared" si="0"/>
        <v>279321</v>
      </c>
      <c r="J86" s="136"/>
      <c r="K86" s="33"/>
      <c r="M86" s="138"/>
      <c r="O86" s="128"/>
      <c r="P86" s="128"/>
      <c r="Q86" s="141">
        <v>0</v>
      </c>
      <c r="R86" s="157">
        <f>98.69+22.92+15.22+3.19+73.23+81.33</f>
        <v>294.58</v>
      </c>
      <c r="S86" s="157">
        <f>24.23+106.22+70.35+21.36+126.21</f>
        <v>348.36999999999995</v>
      </c>
      <c r="T86" s="157">
        <f>162.2+11.7+129.15+53.84</f>
        <v>356.89</v>
      </c>
      <c r="U86" s="141">
        <f>58+28.09+95.14+20.95+150.39</f>
        <v>352.57</v>
      </c>
      <c r="V86" s="141">
        <f>171.49+36.64+165.21</f>
        <v>373.34000000000003</v>
      </c>
      <c r="W86" s="141">
        <v>387.3</v>
      </c>
      <c r="X86" s="141">
        <f>33.19+32.61+201.19+33.89+118.41</f>
        <v>419.28999999999996</v>
      </c>
      <c r="Y86" s="141">
        <f>137.96+61.71+225.91+10.44</f>
        <v>436.02000000000004</v>
      </c>
      <c r="Z86" s="141">
        <f>129.52+158.2+89.34</f>
        <v>377.06000000000006</v>
      </c>
      <c r="AA86" s="141">
        <f>177.16+81.68+114.74</f>
        <v>373.58000000000004</v>
      </c>
      <c r="AB86" s="141">
        <f>384.52</f>
        <v>384.52</v>
      </c>
      <c r="AC86" s="141">
        <f>386.71</f>
        <v>386.71</v>
      </c>
      <c r="AD86" s="141">
        <f>9.36+8.07+14.88+4.67+43.51+8.8+288.42</f>
        <v>377.71000000000004</v>
      </c>
      <c r="AE86" s="141">
        <f>187.58+6.73+158.38</f>
        <v>352.69</v>
      </c>
      <c r="AF86" s="141">
        <f>16.48+202.85+127.91</f>
        <v>347.24</v>
      </c>
      <c r="AG86" s="141">
        <f>111.81+72.56+49.84+49.47</f>
        <v>283.68</v>
      </c>
      <c r="AH86" s="141">
        <v>0</v>
      </c>
      <c r="AI86" s="141">
        <v>0</v>
      </c>
      <c r="AJ86" s="141">
        <v>0</v>
      </c>
      <c r="AK86" s="141">
        <v>91</v>
      </c>
      <c r="AL86" s="141">
        <v>0</v>
      </c>
      <c r="AM86" s="141">
        <v>0</v>
      </c>
      <c r="AN86" s="141">
        <v>0</v>
      </c>
      <c r="AO86" s="142">
        <v>0</v>
      </c>
      <c r="AP86" s="137">
        <f t="shared" si="6"/>
        <v>5942.55</v>
      </c>
    </row>
    <row r="87" spans="1:42" s="137" customFormat="1" ht="22.5" customHeight="1">
      <c r="A87" s="123">
        <f t="shared" si="1"/>
        <v>69</v>
      </c>
      <c r="B87" s="28" t="s">
        <v>25</v>
      </c>
      <c r="C87" s="29" t="s">
        <v>49</v>
      </c>
      <c r="D87" s="30" t="s">
        <v>10</v>
      </c>
      <c r="E87" s="38">
        <f t="shared" si="2"/>
        <v>2579</v>
      </c>
      <c r="F87" s="39">
        <f t="shared" si="5"/>
        <v>2579</v>
      </c>
      <c r="G87" s="64">
        <v>63.26</v>
      </c>
      <c r="H87" s="33">
        <f>_xlfn.CEILING.MATH(G87*(1+$K$9),1)</f>
        <v>64</v>
      </c>
      <c r="I87" s="135">
        <f t="shared" si="0"/>
        <v>165056</v>
      </c>
      <c r="J87" s="136"/>
      <c r="K87" s="33"/>
      <c r="M87" s="138"/>
      <c r="O87" s="128"/>
      <c r="P87" s="128"/>
      <c r="Q87" s="157">
        <v>0</v>
      </c>
      <c r="R87" s="157">
        <f>69.75</f>
        <v>69.75</v>
      </c>
      <c r="S87" s="157">
        <f>166.84+125.81+50.68+50.64+18.09+18.78+18.97+22.5</f>
        <v>472.30999999999995</v>
      </c>
      <c r="T87" s="157">
        <f>24.36+23.55+42.67</f>
        <v>90.58</v>
      </c>
      <c r="U87" s="141">
        <f>42.66+42.75+50.56+42.65+42.72</f>
        <v>221.34</v>
      </c>
      <c r="V87" s="141">
        <f>50.94+50.67+50.67+50.69+50.67+42.67+42.67</f>
        <v>338.98</v>
      </c>
      <c r="W87" s="141">
        <v>67.57</v>
      </c>
      <c r="X87" s="141">
        <f>74.3+68.08</f>
        <v>142.38</v>
      </c>
      <c r="Y87" s="141">
        <v>42.88</v>
      </c>
      <c r="Z87" s="141">
        <f>126.5+50.68+56.21+42.4+42.37</f>
        <v>318.16</v>
      </c>
      <c r="AA87" s="141">
        <f>55.53+54.21+53.43+42.68+42.58</f>
        <v>248.43</v>
      </c>
      <c r="AB87" s="141">
        <v>0</v>
      </c>
      <c r="AC87" s="141">
        <v>0</v>
      </c>
      <c r="AD87" s="141">
        <v>0</v>
      </c>
      <c r="AE87" s="141">
        <v>0</v>
      </c>
      <c r="AF87" s="141">
        <v>60.73</v>
      </c>
      <c r="AG87" s="141">
        <v>0</v>
      </c>
      <c r="AH87" s="141">
        <v>242.85</v>
      </c>
      <c r="AI87" s="141">
        <v>0</v>
      </c>
      <c r="AJ87" s="141">
        <v>0</v>
      </c>
      <c r="AK87" s="141"/>
      <c r="AL87" s="141">
        <f>24.2+25.01+123.23+24.98</f>
        <v>197.42</v>
      </c>
      <c r="AM87" s="141">
        <f>21.41+43.45</f>
        <v>64.86</v>
      </c>
      <c r="AN87" s="141">
        <v>0</v>
      </c>
      <c r="AO87" s="142">
        <v>0</v>
      </c>
      <c r="AP87" s="137">
        <f t="shared" si="6"/>
        <v>2578.2400000000002</v>
      </c>
    </row>
    <row r="88" spans="1:42" s="137" customFormat="1" ht="22.5" customHeight="1">
      <c r="A88" s="123">
        <f t="shared" si="1"/>
        <v>70</v>
      </c>
      <c r="B88" s="28" t="s">
        <v>475</v>
      </c>
      <c r="C88" s="29" t="s">
        <v>476</v>
      </c>
      <c r="D88" s="30" t="s">
        <v>11</v>
      </c>
      <c r="E88" s="38">
        <v>383</v>
      </c>
      <c r="F88" s="39">
        <f t="shared" si="5"/>
        <v>383</v>
      </c>
      <c r="G88" s="64">
        <v>22.91</v>
      </c>
      <c r="H88" s="33">
        <f>_xlfn.CEILING.MATH(G88*(1+$K$9),1)</f>
        <v>23</v>
      </c>
      <c r="I88" s="135">
        <f>ROUNDUP(F88*H88,0)</f>
        <v>8809</v>
      </c>
      <c r="J88" s="136"/>
      <c r="K88" s="33"/>
      <c r="M88" s="138"/>
      <c r="O88" s="128"/>
      <c r="P88" s="128"/>
      <c r="Q88" s="157">
        <v>377</v>
      </c>
      <c r="R88" s="157">
        <v>0</v>
      </c>
      <c r="S88" s="157">
        <v>0</v>
      </c>
      <c r="T88" s="157">
        <v>0</v>
      </c>
      <c r="U88" s="141">
        <v>0</v>
      </c>
      <c r="V88" s="141">
        <v>0</v>
      </c>
      <c r="W88" s="141">
        <v>0</v>
      </c>
      <c r="X88" s="141">
        <v>0</v>
      </c>
      <c r="Y88" s="141">
        <v>0</v>
      </c>
      <c r="Z88" s="141">
        <v>0</v>
      </c>
      <c r="AA88" s="141">
        <v>0</v>
      </c>
      <c r="AB88" s="141">
        <v>0</v>
      </c>
      <c r="AC88" s="141">
        <v>0</v>
      </c>
      <c r="AD88" s="141">
        <v>0</v>
      </c>
      <c r="AE88" s="141">
        <v>0</v>
      </c>
      <c r="AF88" s="141">
        <v>0</v>
      </c>
      <c r="AG88" s="141">
        <v>0</v>
      </c>
      <c r="AH88" s="141">
        <v>0</v>
      </c>
      <c r="AI88" s="141">
        <v>0</v>
      </c>
      <c r="AJ88" s="141">
        <v>0</v>
      </c>
      <c r="AK88" s="141"/>
      <c r="AL88" s="141">
        <v>0</v>
      </c>
      <c r="AM88" s="141">
        <v>0</v>
      </c>
      <c r="AN88" s="141">
        <v>0</v>
      </c>
      <c r="AO88" s="142"/>
      <c r="AP88" s="137">
        <f t="shared" si="6"/>
        <v>377</v>
      </c>
    </row>
    <row r="89" spans="1:42" s="137" customFormat="1" ht="22.5" customHeight="1">
      <c r="A89" s="123">
        <f t="shared" si="1"/>
        <v>71</v>
      </c>
      <c r="B89" s="28" t="s">
        <v>550</v>
      </c>
      <c r="C89" s="29" t="s">
        <v>551</v>
      </c>
      <c r="D89" s="30" t="s">
        <v>12</v>
      </c>
      <c r="E89" s="38">
        <v>2</v>
      </c>
      <c r="F89" s="39">
        <f t="shared" si="5"/>
        <v>2</v>
      </c>
      <c r="G89" s="64">
        <v>3400.27</v>
      </c>
      <c r="H89" s="33">
        <f>_xlfn.CEILING.MATH(G89*(1+$K$9),1)</f>
        <v>3401</v>
      </c>
      <c r="I89" s="135">
        <f t="shared" si="0"/>
        <v>6802</v>
      </c>
      <c r="J89" s="143"/>
      <c r="K89" s="144"/>
      <c r="M89" s="138"/>
      <c r="O89" s="128"/>
      <c r="P89" s="128"/>
      <c r="Q89" s="157">
        <v>2</v>
      </c>
      <c r="R89" s="157">
        <v>0</v>
      </c>
      <c r="S89" s="157">
        <v>0</v>
      </c>
      <c r="T89" s="157">
        <v>0</v>
      </c>
      <c r="U89" s="141">
        <v>0</v>
      </c>
      <c r="V89" s="141">
        <v>0</v>
      </c>
      <c r="W89" s="141">
        <v>0</v>
      </c>
      <c r="X89" s="141">
        <v>0</v>
      </c>
      <c r="Y89" s="141">
        <v>0</v>
      </c>
      <c r="Z89" s="141">
        <v>0</v>
      </c>
      <c r="AA89" s="141">
        <v>0</v>
      </c>
      <c r="AB89" s="141">
        <v>0</v>
      </c>
      <c r="AC89" s="141">
        <v>0</v>
      </c>
      <c r="AD89" s="141">
        <v>0</v>
      </c>
      <c r="AE89" s="141">
        <v>0</v>
      </c>
      <c r="AF89" s="141">
        <v>0</v>
      </c>
      <c r="AG89" s="141">
        <v>0</v>
      </c>
      <c r="AH89" s="141">
        <v>0</v>
      </c>
      <c r="AI89" s="141">
        <v>0</v>
      </c>
      <c r="AJ89" s="141">
        <v>0</v>
      </c>
      <c r="AK89" s="141"/>
      <c r="AL89" s="141">
        <v>0</v>
      </c>
      <c r="AM89" s="141">
        <v>0</v>
      </c>
      <c r="AN89" s="141">
        <v>0</v>
      </c>
      <c r="AO89" s="142"/>
      <c r="AP89" s="137">
        <f t="shared" si="6"/>
        <v>2</v>
      </c>
    </row>
    <row r="90" spans="1:42" s="137" customFormat="1" ht="22.5" customHeight="1">
      <c r="A90" s="123">
        <f t="shared" si="1"/>
        <v>72</v>
      </c>
      <c r="B90" s="28" t="s">
        <v>26</v>
      </c>
      <c r="C90" s="29" t="s">
        <v>51</v>
      </c>
      <c r="D90" s="30" t="s">
        <v>10</v>
      </c>
      <c r="E90" s="38">
        <f>ROUNDUP(AP90,0)</f>
        <v>83746</v>
      </c>
      <c r="F90" s="39">
        <f>E90*1.1</f>
        <v>92120.6</v>
      </c>
      <c r="G90" s="64">
        <v>3.02</v>
      </c>
      <c r="H90" s="33">
        <f>_xlfn.CEILING.MATH(G90*(1+$K$9),1)</f>
        <v>4</v>
      </c>
      <c r="I90" s="135">
        <f>ROUNDUP(F90*H90,0)</f>
        <v>368483</v>
      </c>
      <c r="J90" s="143"/>
      <c r="K90" s="144"/>
      <c r="M90" s="138"/>
      <c r="O90" s="128"/>
      <c r="P90" s="128"/>
      <c r="Q90" s="159">
        <f aca="true" t="shared" si="7" ref="Q90:AJ90">(Q24*4840)-Q35-(((Q83*1.35)+(Q82*1.35)+(Q81*2))/9)-Q101-Q86-Q87-Q37</f>
        <v>1697.1022222222223</v>
      </c>
      <c r="R90" s="159">
        <f t="shared" si="7"/>
        <v>1281.7622222222221</v>
      </c>
      <c r="S90" s="159">
        <f t="shared" si="7"/>
        <v>2128.055555555557</v>
      </c>
      <c r="T90" s="159">
        <f t="shared" si="7"/>
        <v>2933.0505000000003</v>
      </c>
      <c r="U90" s="159">
        <f t="shared" si="7"/>
        <v>4284.592222222223</v>
      </c>
      <c r="V90" s="159">
        <f t="shared" si="7"/>
        <v>4123.492222222221</v>
      </c>
      <c r="W90" s="159">
        <f t="shared" si="7"/>
        <v>4172.731111111111</v>
      </c>
      <c r="X90" s="159">
        <f t="shared" si="7"/>
        <v>2515.8782777777783</v>
      </c>
      <c r="Y90" s="159">
        <f t="shared" si="7"/>
        <v>2361.2111111111108</v>
      </c>
      <c r="Z90" s="159">
        <f t="shared" si="7"/>
        <v>3887.623333333332</v>
      </c>
      <c r="AA90" s="159">
        <f t="shared" si="7"/>
        <v>5374.312222222222</v>
      </c>
      <c r="AB90" s="159">
        <f t="shared" si="7"/>
        <v>5618.682222222222</v>
      </c>
      <c r="AC90" s="159">
        <f t="shared" si="7"/>
        <v>4214.146666666667</v>
      </c>
      <c r="AD90" s="159">
        <f t="shared" si="7"/>
        <v>3278.6328333333345</v>
      </c>
      <c r="AE90" s="159">
        <f t="shared" si="7"/>
        <v>4201.62</v>
      </c>
      <c r="AF90" s="159">
        <f t="shared" si="7"/>
        <v>4417.636666666667</v>
      </c>
      <c r="AG90" s="159">
        <f t="shared" si="7"/>
        <v>7223.296999999999</v>
      </c>
      <c r="AH90" s="159">
        <f t="shared" si="7"/>
        <v>9969.846666666666</v>
      </c>
      <c r="AI90" s="159">
        <f t="shared" si="7"/>
        <v>7901.974444444444</v>
      </c>
      <c r="AJ90" s="159">
        <f t="shared" si="7"/>
        <v>1244.9244444444446</v>
      </c>
      <c r="AK90" s="159"/>
      <c r="AL90" s="159">
        <f>(AL24*4840)-AL35-(((AL83*1.35)+(AL82*1.35)+(AL81*2))/9)-AL101-AL86-AL87-AL37</f>
        <v>843.6733333333332</v>
      </c>
      <c r="AM90" s="159">
        <f>(AM24*4840)-AM35-(((AM83*1.35)+(AM82*1.35)+(AM81*2))/9)-AM101-AM86-AM87-AM37</f>
        <v>71.33999999999992</v>
      </c>
      <c r="AN90" s="159"/>
      <c r="AO90" s="142"/>
      <c r="AP90" s="137">
        <f t="shared" si="6"/>
        <v>83745.5852777778</v>
      </c>
    </row>
    <row r="91" spans="1:41" s="128" customFormat="1" ht="23.25" customHeight="1" thickBot="1">
      <c r="A91" s="123">
        <f t="shared" si="1"/>
        <v>73</v>
      </c>
      <c r="B91" s="28"/>
      <c r="C91" s="29" t="s">
        <v>477</v>
      </c>
      <c r="D91" s="30" t="s">
        <v>9</v>
      </c>
      <c r="E91" s="38">
        <v>1</v>
      </c>
      <c r="F91" s="39">
        <f>E91</f>
        <v>1</v>
      </c>
      <c r="G91" s="64">
        <v>41966</v>
      </c>
      <c r="H91" s="33">
        <f>G91</f>
        <v>41966</v>
      </c>
      <c r="I91" s="135">
        <f>ROUNDUP(F91*H91,0)</f>
        <v>41966</v>
      </c>
      <c r="J91" s="160"/>
      <c r="K91" s="160"/>
      <c r="M91" s="161"/>
      <c r="N91" s="162"/>
      <c r="O91" s="137"/>
      <c r="P91" s="131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</row>
    <row r="92" spans="1:41" ht="23.25" customHeight="1" thickBot="1" thickTop="1">
      <c r="A92" s="59"/>
      <c r="B92" s="60"/>
      <c r="C92" s="60"/>
      <c r="D92" s="60"/>
      <c r="E92" s="60"/>
      <c r="F92" s="101"/>
      <c r="G92" s="60"/>
      <c r="H92" s="62" t="s">
        <v>52</v>
      </c>
      <c r="I92" s="61">
        <f>SUM(I19:I91)</f>
        <v>20666178</v>
      </c>
      <c r="J92" s="15"/>
      <c r="K92" s="15"/>
      <c r="M92" s="16"/>
      <c r="N92" s="16"/>
      <c r="O92" s="17"/>
      <c r="P92" s="11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</row>
    <row r="93" spans="1:42" s="17" customFormat="1" ht="22.5" customHeight="1" thickBot="1" thickTop="1">
      <c r="A93" s="342" t="s">
        <v>384</v>
      </c>
      <c r="B93" s="343"/>
      <c r="C93" s="343"/>
      <c r="D93" s="343"/>
      <c r="E93" s="343"/>
      <c r="F93" s="343"/>
      <c r="G93" s="343"/>
      <c r="H93" s="343"/>
      <c r="I93" s="344"/>
      <c r="J93" s="109"/>
      <c r="K93" s="110"/>
      <c r="M93" s="68"/>
      <c r="N93" s="84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5"/>
    </row>
    <row r="94" spans="1:42" s="137" customFormat="1" ht="22.5" customHeight="1" thickBot="1" thickTop="1">
      <c r="A94" s="348" t="s">
        <v>385</v>
      </c>
      <c r="B94" s="349"/>
      <c r="C94" s="349"/>
      <c r="D94" s="349"/>
      <c r="E94" s="349"/>
      <c r="F94" s="349"/>
      <c r="G94" s="349"/>
      <c r="H94" s="349"/>
      <c r="I94" s="350"/>
      <c r="J94" s="143"/>
      <c r="K94" s="144"/>
      <c r="M94" s="138"/>
      <c r="N94" s="139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17"/>
    </row>
    <row r="95" spans="1:42" s="137" customFormat="1" ht="22.5" customHeight="1" thickTop="1">
      <c r="A95" s="123">
        <f>A91+1</f>
        <v>74</v>
      </c>
      <c r="B95" s="28" t="s">
        <v>41</v>
      </c>
      <c r="C95" s="37" t="s">
        <v>46</v>
      </c>
      <c r="D95" s="30" t="s">
        <v>10</v>
      </c>
      <c r="E95" s="39">
        <f>ROUNDUP(AP95,0)</f>
        <v>16578</v>
      </c>
      <c r="F95" s="39">
        <f>E95</f>
        <v>16578</v>
      </c>
      <c r="G95" s="64">
        <f>G29</f>
        <v>6.77</v>
      </c>
      <c r="H95" s="33">
        <f>_xlfn.CEILING.MATH(G95*(1+$K$9),1)</f>
        <v>7</v>
      </c>
      <c r="I95" s="135">
        <f>ROUNDUP(F95*H95,0)</f>
        <v>116046</v>
      </c>
      <c r="J95" s="143"/>
      <c r="K95" s="144"/>
      <c r="M95" s="138"/>
      <c r="N95" s="139"/>
      <c r="Q95" s="141">
        <v>0</v>
      </c>
      <c r="R95" s="141">
        <v>347.73</v>
      </c>
      <c r="S95" s="141">
        <f>75.92+139.88+329.45+280.74+54.82</f>
        <v>880.8100000000001</v>
      </c>
      <c r="T95" s="141">
        <f>736.57+208.85</f>
        <v>945.4200000000001</v>
      </c>
      <c r="U95" s="141">
        <f>406.05+609.64</f>
        <v>1015.69</v>
      </c>
      <c r="V95" s="141">
        <f>50.12+385.86+196.86+169.16+103.27+11.59</f>
        <v>916.86</v>
      </c>
      <c r="W95" s="141">
        <f>93.68+914.52</f>
        <v>1008.2</v>
      </c>
      <c r="X95" s="141">
        <f>93.33+802.08</f>
        <v>895.4100000000001</v>
      </c>
      <c r="Y95" s="141">
        <f>281.4+645.68</f>
        <v>927.0799999999999</v>
      </c>
      <c r="Z95" s="141">
        <f>190.81+108.94+498.69+127.72</f>
        <v>926.1600000000001</v>
      </c>
      <c r="AA95" s="141">
        <f>294.51+160.18+144.34+273.04</f>
        <v>872.0699999999999</v>
      </c>
      <c r="AB95" s="141">
        <v>1037.74</v>
      </c>
      <c r="AC95" s="141">
        <v>1033.87</v>
      </c>
      <c r="AD95" s="141">
        <f>108.38+738.13</f>
        <v>846.51</v>
      </c>
      <c r="AE95" s="141">
        <v>1034.53</v>
      </c>
      <c r="AF95" s="141">
        <v>1031.11</v>
      </c>
      <c r="AG95" s="141">
        <f>196.37+709.01</f>
        <v>905.38</v>
      </c>
      <c r="AH95" s="141">
        <f>365.21+607.25</f>
        <v>972.46</v>
      </c>
      <c r="AI95" s="141">
        <v>980.45</v>
      </c>
      <c r="AJ95" s="141">
        <v>0</v>
      </c>
      <c r="AK95" s="141"/>
      <c r="AL95" s="141">
        <v>0</v>
      </c>
      <c r="AM95" s="141">
        <v>0</v>
      </c>
      <c r="AN95" s="141">
        <v>0</v>
      </c>
      <c r="AO95" s="142"/>
      <c r="AP95" s="137">
        <f>SUM(Q95:AO95)</f>
        <v>16577.480000000003</v>
      </c>
    </row>
    <row r="96" spans="1:42" s="137" customFormat="1" ht="22.5" customHeight="1">
      <c r="A96" s="123">
        <f>A95+1</f>
        <v>75</v>
      </c>
      <c r="B96" s="28" t="s">
        <v>91</v>
      </c>
      <c r="C96" s="37" t="s">
        <v>89</v>
      </c>
      <c r="D96" s="30" t="s">
        <v>10</v>
      </c>
      <c r="E96" s="39">
        <f>ROUNDUP(AP96,0)</f>
        <v>12511</v>
      </c>
      <c r="F96" s="39">
        <f>E96</f>
        <v>12511</v>
      </c>
      <c r="G96" s="64">
        <f>G30</f>
        <v>25.9</v>
      </c>
      <c r="H96" s="33">
        <f>_xlfn.CEILING.MATH(G96*(1+$K$9),1)</f>
        <v>26</v>
      </c>
      <c r="I96" s="135">
        <f>ROUNDUP(F96*H96,0)</f>
        <v>325286</v>
      </c>
      <c r="J96" s="143"/>
      <c r="K96" s="144"/>
      <c r="M96" s="138"/>
      <c r="N96" s="139"/>
      <c r="P96" s="152" t="s">
        <v>506</v>
      </c>
      <c r="Q96" s="141">
        <v>0</v>
      </c>
      <c r="R96" s="141">
        <v>266.97</v>
      </c>
      <c r="S96" s="141">
        <f>57.29+105.23+247.24+210.75+41.11</f>
        <v>661.62</v>
      </c>
      <c r="T96" s="141">
        <f>557.95+162.2</f>
        <v>720.1500000000001</v>
      </c>
      <c r="U96" s="141">
        <f>304.54+457.23</f>
        <v>761.77</v>
      </c>
      <c r="V96" s="141">
        <f>37.59+289.4+147.64+126.87+77.46+8.7</f>
        <v>687.6600000000001</v>
      </c>
      <c r="W96" s="141">
        <f>70.27+685.7</f>
        <v>755.97</v>
      </c>
      <c r="X96" s="141">
        <f>74.52+605.63</f>
        <v>680.15</v>
      </c>
      <c r="Y96" s="141">
        <f>217.96+490.24</f>
        <v>708.2</v>
      </c>
      <c r="Z96" s="141">
        <f>143.34+81.9+374.01+95.76</f>
        <v>695.01</v>
      </c>
      <c r="AA96" s="141">
        <f>220.85+120.13+113.92+210.48</f>
        <v>665.38</v>
      </c>
      <c r="AB96" s="141">
        <v>778.31</v>
      </c>
      <c r="AC96" s="141">
        <v>775.41</v>
      </c>
      <c r="AD96" s="141">
        <v>640.39</v>
      </c>
      <c r="AE96" s="141">
        <v>775.9</v>
      </c>
      <c r="AF96" s="141">
        <v>773.33</v>
      </c>
      <c r="AG96" s="141">
        <f>154.34+539.99</f>
        <v>694.33</v>
      </c>
      <c r="AH96" s="141">
        <f>273.91+455.44</f>
        <v>729.35</v>
      </c>
      <c r="AI96" s="141">
        <v>740.53</v>
      </c>
      <c r="AJ96" s="141">
        <v>0</v>
      </c>
      <c r="AK96" s="141"/>
      <c r="AL96" s="141">
        <v>0</v>
      </c>
      <c r="AM96" s="141">
        <v>0</v>
      </c>
      <c r="AN96" s="141">
        <v>0</v>
      </c>
      <c r="AO96" s="142"/>
      <c r="AP96" s="137">
        <f>SUM(Q96:AO96)</f>
        <v>12510.43</v>
      </c>
    </row>
    <row r="97" spans="1:42" s="137" customFormat="1" ht="22.5" customHeight="1" thickBot="1">
      <c r="A97" s="123">
        <f>A96+1</f>
        <v>76</v>
      </c>
      <c r="B97" s="28" t="s">
        <v>97</v>
      </c>
      <c r="C97" s="29" t="s">
        <v>96</v>
      </c>
      <c r="D97" s="30" t="s">
        <v>27</v>
      </c>
      <c r="E97" s="65">
        <f>AP97</f>
        <v>1032.110475</v>
      </c>
      <c r="F97" s="65">
        <f>E97</f>
        <v>1032.110475</v>
      </c>
      <c r="G97" s="64">
        <v>210.19</v>
      </c>
      <c r="H97" s="33">
        <f>_xlfn.CEILING.MATH(G97*(1+$K$9),1)</f>
        <v>211</v>
      </c>
      <c r="I97" s="151">
        <f>ROUNDUP(F97*H97,0)</f>
        <v>217776</v>
      </c>
      <c r="J97" s="143"/>
      <c r="K97" s="144"/>
      <c r="M97" s="138"/>
      <c r="N97" s="139"/>
      <c r="Q97" s="141">
        <v>0</v>
      </c>
      <c r="R97" s="141">
        <v>266.97</v>
      </c>
      <c r="S97" s="141">
        <f>57.29+105.23+247.24+210.75+41.11</f>
        <v>661.62</v>
      </c>
      <c r="T97" s="141">
        <f>557.95+162.2</f>
        <v>720.1500000000001</v>
      </c>
      <c r="U97" s="141">
        <f>304.54+457.23</f>
        <v>761.77</v>
      </c>
      <c r="V97" s="141">
        <f>37.59+289.4+147.64+126.87+77.46+8.7</f>
        <v>687.6600000000001</v>
      </c>
      <c r="W97" s="141">
        <f>70.27+685.7</f>
        <v>755.97</v>
      </c>
      <c r="X97" s="141">
        <f>74.52+605.63</f>
        <v>680.15</v>
      </c>
      <c r="Y97" s="141">
        <f>217.96+490.24</f>
        <v>708.2</v>
      </c>
      <c r="Z97" s="141">
        <f>143.34+81.9+374.01+95.76</f>
        <v>695.01</v>
      </c>
      <c r="AA97" s="141">
        <f>220.85+120.13+113.92+210.48</f>
        <v>665.38</v>
      </c>
      <c r="AB97" s="141">
        <v>778.31</v>
      </c>
      <c r="AC97" s="141">
        <v>775.41</v>
      </c>
      <c r="AD97" s="141">
        <v>640.39</v>
      </c>
      <c r="AE97" s="141">
        <v>775.9</v>
      </c>
      <c r="AF97" s="141">
        <v>773.33</v>
      </c>
      <c r="AG97" s="141">
        <f>154.34+539.99</f>
        <v>694.33</v>
      </c>
      <c r="AH97" s="141">
        <f>273.91+455.44</f>
        <v>729.35</v>
      </c>
      <c r="AI97" s="141">
        <v>740.53</v>
      </c>
      <c r="AJ97" s="141">
        <v>0</v>
      </c>
      <c r="AK97" s="141"/>
      <c r="AL97" s="141">
        <v>0</v>
      </c>
      <c r="AM97" s="141">
        <v>0</v>
      </c>
      <c r="AN97" s="141">
        <v>0</v>
      </c>
      <c r="AO97" s="142"/>
      <c r="AP97" s="137">
        <f>((SUM(Q97:AO97))*165)/2000</f>
        <v>1032.110475</v>
      </c>
    </row>
    <row r="98" spans="1:41" s="17" customFormat="1" ht="22.5" customHeight="1" thickBot="1" thickTop="1">
      <c r="A98" s="351" t="s">
        <v>386</v>
      </c>
      <c r="B98" s="352"/>
      <c r="C98" s="352"/>
      <c r="D98" s="352"/>
      <c r="E98" s="352"/>
      <c r="F98" s="352"/>
      <c r="G98" s="352"/>
      <c r="H98" s="353"/>
      <c r="I98" s="112">
        <f>SUM(I95:I97)</f>
        <v>659108</v>
      </c>
      <c r="J98" s="109"/>
      <c r="K98" s="110"/>
      <c r="M98" s="68"/>
      <c r="N98" s="84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</row>
    <row r="99" spans="1:42" s="137" customFormat="1" ht="22.5" customHeight="1" thickBot="1" thickTop="1">
      <c r="A99" s="348" t="s">
        <v>387</v>
      </c>
      <c r="B99" s="349"/>
      <c r="C99" s="349"/>
      <c r="D99" s="349"/>
      <c r="E99" s="349"/>
      <c r="F99" s="349"/>
      <c r="G99" s="349"/>
      <c r="H99" s="349"/>
      <c r="I99" s="350"/>
      <c r="J99" s="143"/>
      <c r="K99" s="144"/>
      <c r="M99" s="138"/>
      <c r="N99" s="139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17"/>
    </row>
    <row r="100" spans="1:42" s="137" customFormat="1" ht="22.5" customHeight="1" thickTop="1">
      <c r="A100" s="123">
        <f>A97+1</f>
        <v>77</v>
      </c>
      <c r="B100" s="28" t="s">
        <v>41</v>
      </c>
      <c r="C100" s="37" t="s">
        <v>46</v>
      </c>
      <c r="D100" s="30" t="s">
        <v>10</v>
      </c>
      <c r="E100" s="39">
        <f>ROUNDUP(AP100,0)</f>
        <v>16578</v>
      </c>
      <c r="F100" s="39">
        <f>E100</f>
        <v>16578</v>
      </c>
      <c r="G100" s="64">
        <f>G95</f>
        <v>6.77</v>
      </c>
      <c r="H100" s="33">
        <f>_xlfn.CEILING.MATH(G100*(1+$K$9),1)</f>
        <v>7</v>
      </c>
      <c r="I100" s="135">
        <f>ROUNDUP(F100*H100,0)</f>
        <v>116046</v>
      </c>
      <c r="J100" s="143"/>
      <c r="K100" s="144"/>
      <c r="M100" s="138"/>
      <c r="N100" s="139"/>
      <c r="Q100" s="141">
        <v>0</v>
      </c>
      <c r="R100" s="141">
        <v>347.73</v>
      </c>
      <c r="S100" s="141">
        <f>75.92+139.88+329.45+280.74+54.82</f>
        <v>880.8100000000001</v>
      </c>
      <c r="T100" s="141">
        <f>736.57+208.85</f>
        <v>945.4200000000001</v>
      </c>
      <c r="U100" s="141">
        <f>406.05+609.64</f>
        <v>1015.69</v>
      </c>
      <c r="V100" s="141">
        <f>50.12+385.86+196.86+169.16+103.27+11.59</f>
        <v>916.86</v>
      </c>
      <c r="W100" s="141">
        <f>93.68+914.52</f>
        <v>1008.2</v>
      </c>
      <c r="X100" s="141">
        <f>93.33+802.08</f>
        <v>895.4100000000001</v>
      </c>
      <c r="Y100" s="141">
        <f>281.4+645.68</f>
        <v>927.0799999999999</v>
      </c>
      <c r="Z100" s="141">
        <f>190.81+108.94+498.69+127.72</f>
        <v>926.1600000000001</v>
      </c>
      <c r="AA100" s="141">
        <f>294.51+160.18+144.34+273.04</f>
        <v>872.0699999999999</v>
      </c>
      <c r="AB100" s="141">
        <v>1037.74</v>
      </c>
      <c r="AC100" s="141">
        <v>1033.87</v>
      </c>
      <c r="AD100" s="141">
        <f>108.38+738.13</f>
        <v>846.51</v>
      </c>
      <c r="AE100" s="141">
        <v>1034.53</v>
      </c>
      <c r="AF100" s="141">
        <v>1031.11</v>
      </c>
      <c r="AG100" s="141">
        <f>196.37+709.01</f>
        <v>905.38</v>
      </c>
      <c r="AH100" s="141">
        <f>365.21+607.25</f>
        <v>972.46</v>
      </c>
      <c r="AI100" s="141">
        <v>980.45</v>
      </c>
      <c r="AJ100" s="141">
        <v>0</v>
      </c>
      <c r="AK100" s="141"/>
      <c r="AL100" s="141">
        <v>0</v>
      </c>
      <c r="AM100" s="141">
        <v>0</v>
      </c>
      <c r="AN100" s="141">
        <v>0</v>
      </c>
      <c r="AO100" s="142"/>
      <c r="AP100" s="137">
        <f>SUM(Q100:AO100)</f>
        <v>16577.480000000003</v>
      </c>
    </row>
    <row r="101" spans="1:42" s="137" customFormat="1" ht="22.5" customHeight="1" thickBot="1">
      <c r="A101" s="123">
        <f>A100+1</f>
        <v>78</v>
      </c>
      <c r="B101" s="28" t="s">
        <v>28</v>
      </c>
      <c r="C101" s="29" t="s">
        <v>48</v>
      </c>
      <c r="D101" s="30" t="s">
        <v>10</v>
      </c>
      <c r="E101" s="39">
        <f>ROUNDUP(AP101,0)</f>
        <v>12511</v>
      </c>
      <c r="F101" s="39">
        <f>E101</f>
        <v>12511</v>
      </c>
      <c r="G101" s="64">
        <f>G86</f>
        <v>46.57</v>
      </c>
      <c r="H101" s="33">
        <f>_xlfn.CEILING.MATH(G101*(1+$K$9),1)</f>
        <v>47</v>
      </c>
      <c r="I101" s="151">
        <f>ROUNDUP(F101*H101,0)</f>
        <v>588017</v>
      </c>
      <c r="J101" s="143"/>
      <c r="K101" s="144"/>
      <c r="M101" s="138"/>
      <c r="N101" s="139"/>
      <c r="Q101" s="141">
        <v>0</v>
      </c>
      <c r="R101" s="141">
        <v>266.97</v>
      </c>
      <c r="S101" s="141">
        <f>57.29+105.23+247.24+210.75+41.11</f>
        <v>661.62</v>
      </c>
      <c r="T101" s="141">
        <f>557.95+162.2</f>
        <v>720.1500000000001</v>
      </c>
      <c r="U101" s="141">
        <f>304.54+457.23</f>
        <v>761.77</v>
      </c>
      <c r="V101" s="141">
        <f>37.59+289.4+147.64+126.87+77.46+8.7</f>
        <v>687.6600000000001</v>
      </c>
      <c r="W101" s="141">
        <f>70.27+685.7</f>
        <v>755.97</v>
      </c>
      <c r="X101" s="141">
        <f>74.52+605.63</f>
        <v>680.15</v>
      </c>
      <c r="Y101" s="141">
        <f>217.96+490.24</f>
        <v>708.2</v>
      </c>
      <c r="Z101" s="141">
        <f>143.34+81.9+374.01+95.76</f>
        <v>695.01</v>
      </c>
      <c r="AA101" s="141">
        <f>220.85+120.13+113.92+210.48</f>
        <v>665.38</v>
      </c>
      <c r="AB101" s="141">
        <v>778.31</v>
      </c>
      <c r="AC101" s="141">
        <v>775.41</v>
      </c>
      <c r="AD101" s="141">
        <v>640.39</v>
      </c>
      <c r="AE101" s="141">
        <v>775.9</v>
      </c>
      <c r="AF101" s="141">
        <v>773.33</v>
      </c>
      <c r="AG101" s="141">
        <f>154.34+539.99</f>
        <v>694.33</v>
      </c>
      <c r="AH101" s="141">
        <f>273.91+455.44</f>
        <v>729.35</v>
      </c>
      <c r="AI101" s="141">
        <v>740.53</v>
      </c>
      <c r="AJ101" s="141">
        <v>0</v>
      </c>
      <c r="AK101" s="141"/>
      <c r="AL101" s="141">
        <v>0</v>
      </c>
      <c r="AM101" s="141">
        <v>0</v>
      </c>
      <c r="AN101" s="141">
        <v>0</v>
      </c>
      <c r="AO101" s="142"/>
      <c r="AP101" s="137">
        <f>SUM(Q101:AO101)</f>
        <v>12510.43</v>
      </c>
    </row>
    <row r="102" spans="1:42" ht="23.25" customHeight="1" thickBot="1" thickTop="1">
      <c r="A102" s="351" t="s">
        <v>388</v>
      </c>
      <c r="B102" s="352"/>
      <c r="C102" s="352"/>
      <c r="D102" s="352"/>
      <c r="E102" s="352"/>
      <c r="F102" s="352"/>
      <c r="G102" s="352"/>
      <c r="H102" s="353"/>
      <c r="I102" s="112">
        <f>SUM(I100:I101)</f>
        <v>704063</v>
      </c>
      <c r="J102" s="15"/>
      <c r="K102" s="15"/>
      <c r="M102" s="41"/>
      <c r="N102" s="45"/>
      <c r="O102" s="17"/>
      <c r="P102" s="11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16" ht="23.25" customHeight="1" thickBot="1" thickTop="1">
      <c r="A103" s="59"/>
      <c r="B103" s="60"/>
      <c r="C103" s="60"/>
      <c r="D103" s="60"/>
      <c r="E103" s="60"/>
      <c r="F103" s="101"/>
      <c r="G103" s="60"/>
      <c r="H103" s="62" t="s">
        <v>389</v>
      </c>
      <c r="I103" s="61">
        <f>MAX(I98,I102)</f>
        <v>704063</v>
      </c>
      <c r="J103" s="15"/>
      <c r="K103" s="15"/>
      <c r="M103" s="16"/>
      <c r="N103" s="16"/>
      <c r="O103" s="17"/>
      <c r="P103" s="11"/>
    </row>
    <row r="104" spans="1:42" s="17" customFormat="1" ht="23.25" customHeight="1" thickBot="1" thickTop="1">
      <c r="A104" s="342" t="s">
        <v>150</v>
      </c>
      <c r="B104" s="343"/>
      <c r="C104" s="343"/>
      <c r="D104" s="343"/>
      <c r="E104" s="343"/>
      <c r="F104" s="343"/>
      <c r="G104" s="343"/>
      <c r="H104" s="343"/>
      <c r="I104" s="344"/>
      <c r="J104" s="35"/>
      <c r="K104" s="113" t="s">
        <v>390</v>
      </c>
      <c r="M104" s="68"/>
      <c r="N104" s="45"/>
      <c r="P104" s="16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s="137" customFormat="1" ht="23.25" customHeight="1" thickTop="1">
      <c r="A105" s="172">
        <f>A101+1</f>
        <v>79</v>
      </c>
      <c r="B105" s="166" t="s">
        <v>544</v>
      </c>
      <c r="C105" s="167" t="s">
        <v>545</v>
      </c>
      <c r="D105" s="166" t="s">
        <v>10</v>
      </c>
      <c r="E105" s="164"/>
      <c r="F105" s="168">
        <v>1321</v>
      </c>
      <c r="G105" s="169">
        <v>126.65</v>
      </c>
      <c r="H105" s="170">
        <f aca="true" t="shared" si="8" ref="H105:H132">_xlfn.CEILING.MATH(G105*(1+$K$9),1)</f>
        <v>127</v>
      </c>
      <c r="I105" s="171">
        <f aca="true" t="shared" si="9" ref="I105:I132">ROUNDUP(F105*H105,0)</f>
        <v>167767</v>
      </c>
      <c r="J105" s="165"/>
      <c r="K105" s="163"/>
      <c r="M105" s="138"/>
      <c r="N105" s="162"/>
      <c r="P105" s="140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</row>
    <row r="106" spans="1:14" s="17" customFormat="1" ht="23.25" customHeight="1">
      <c r="A106" s="18">
        <f>A105+1</f>
        <v>80</v>
      </c>
      <c r="B106" s="19" t="s">
        <v>286</v>
      </c>
      <c r="C106" s="20" t="s">
        <v>287</v>
      </c>
      <c r="D106" s="21" t="s">
        <v>34</v>
      </c>
      <c r="E106" s="21">
        <v>87</v>
      </c>
      <c r="F106" s="39">
        <v>88</v>
      </c>
      <c r="G106" s="86">
        <v>381</v>
      </c>
      <c r="H106" s="33">
        <f t="shared" si="8"/>
        <v>381</v>
      </c>
      <c r="I106" s="34">
        <f t="shared" si="9"/>
        <v>33528</v>
      </c>
      <c r="J106" s="35"/>
      <c r="K106" s="36"/>
      <c r="M106" s="68"/>
      <c r="N106" s="45"/>
    </row>
    <row r="107" spans="1:17" s="17" customFormat="1" ht="23.25" customHeight="1">
      <c r="A107" s="18">
        <f>A106+1</f>
        <v>81</v>
      </c>
      <c r="B107" s="28" t="s">
        <v>288</v>
      </c>
      <c r="C107" s="29" t="s">
        <v>289</v>
      </c>
      <c r="D107" s="30" t="s">
        <v>34</v>
      </c>
      <c r="E107" s="30">
        <v>9</v>
      </c>
      <c r="F107" s="39">
        <v>10</v>
      </c>
      <c r="G107" s="32">
        <v>1365.93</v>
      </c>
      <c r="H107" s="33">
        <f t="shared" si="8"/>
        <v>1366</v>
      </c>
      <c r="I107" s="34">
        <f t="shared" si="9"/>
        <v>13660</v>
      </c>
      <c r="J107" s="35"/>
      <c r="K107" s="36"/>
      <c r="M107" s="68"/>
      <c r="N107" s="45"/>
      <c r="Q107" s="16"/>
    </row>
    <row r="108" spans="1:17" s="17" customFormat="1" ht="23.25" customHeight="1">
      <c r="A108" s="18">
        <f>A107+1</f>
        <v>82</v>
      </c>
      <c r="B108" s="28" t="s">
        <v>391</v>
      </c>
      <c r="C108" s="29" t="s">
        <v>392</v>
      </c>
      <c r="D108" s="30" t="s">
        <v>34</v>
      </c>
      <c r="E108" s="31">
        <v>3</v>
      </c>
      <c r="F108" s="39">
        <v>1</v>
      </c>
      <c r="G108" s="32">
        <v>4170.47</v>
      </c>
      <c r="H108" s="33">
        <f t="shared" si="8"/>
        <v>4171</v>
      </c>
      <c r="I108" s="34">
        <f t="shared" si="9"/>
        <v>4171</v>
      </c>
      <c r="J108" s="35"/>
      <c r="K108" s="36"/>
      <c r="M108" s="68"/>
      <c r="N108" s="45"/>
      <c r="Q108" s="16"/>
    </row>
    <row r="109" spans="1:17" s="17" customFormat="1" ht="23.25" customHeight="1">
      <c r="A109" s="18">
        <f>A108+1</f>
        <v>83</v>
      </c>
      <c r="B109" s="28" t="s">
        <v>393</v>
      </c>
      <c r="C109" s="29" t="s">
        <v>394</v>
      </c>
      <c r="D109" s="30" t="s">
        <v>34</v>
      </c>
      <c r="E109" s="31">
        <v>4</v>
      </c>
      <c r="F109" s="39">
        <v>6</v>
      </c>
      <c r="G109" s="32">
        <v>6131.81</v>
      </c>
      <c r="H109" s="33">
        <f t="shared" si="8"/>
        <v>6132</v>
      </c>
      <c r="I109" s="34">
        <f t="shared" si="9"/>
        <v>36792</v>
      </c>
      <c r="J109" s="35"/>
      <c r="K109" s="36"/>
      <c r="M109" s="68"/>
      <c r="N109" s="45"/>
      <c r="O109" s="70"/>
      <c r="Q109" s="16"/>
    </row>
    <row r="110" spans="1:18" s="17" customFormat="1" ht="23.25" customHeight="1">
      <c r="A110" s="18">
        <f>A109+1</f>
        <v>84</v>
      </c>
      <c r="B110" s="28" t="s">
        <v>290</v>
      </c>
      <c r="C110" s="29" t="s">
        <v>291</v>
      </c>
      <c r="D110" s="30" t="s">
        <v>12</v>
      </c>
      <c r="E110" s="39">
        <v>6</v>
      </c>
      <c r="F110" s="39">
        <f aca="true" t="shared" si="10" ref="F110:F131">E110</f>
        <v>6</v>
      </c>
      <c r="G110" s="64">
        <v>148.03</v>
      </c>
      <c r="H110" s="33">
        <f t="shared" si="8"/>
        <v>149</v>
      </c>
      <c r="I110" s="34">
        <f t="shared" si="9"/>
        <v>894</v>
      </c>
      <c r="J110" s="35"/>
      <c r="K110" s="36"/>
      <c r="M110" s="68"/>
      <c r="N110" s="45"/>
      <c r="O110" s="70"/>
      <c r="Q110" s="63"/>
      <c r="R110" s="71"/>
    </row>
    <row r="111" spans="1:18" s="17" customFormat="1" ht="23.25" customHeight="1">
      <c r="A111" s="18">
        <f aca="true" t="shared" si="11" ref="A111:A132">A110+1</f>
        <v>85</v>
      </c>
      <c r="B111" s="28" t="s">
        <v>395</v>
      </c>
      <c r="C111" s="29" t="s">
        <v>396</v>
      </c>
      <c r="D111" s="30" t="s">
        <v>12</v>
      </c>
      <c r="E111" s="39">
        <v>1</v>
      </c>
      <c r="F111" s="39">
        <f t="shared" si="10"/>
        <v>1</v>
      </c>
      <c r="G111" s="64">
        <v>61.21</v>
      </c>
      <c r="H111" s="33">
        <f t="shared" si="8"/>
        <v>62</v>
      </c>
      <c r="I111" s="34">
        <f t="shared" si="9"/>
        <v>62</v>
      </c>
      <c r="J111" s="35"/>
      <c r="K111" s="36"/>
      <c r="M111" s="68"/>
      <c r="N111" s="45"/>
      <c r="O111" s="70"/>
      <c r="Q111" s="63"/>
      <c r="R111" s="71"/>
    </row>
    <row r="112" spans="1:18" s="17" customFormat="1" ht="23.25" customHeight="1">
      <c r="A112" s="18">
        <f t="shared" si="11"/>
        <v>86</v>
      </c>
      <c r="B112" s="28" t="s">
        <v>397</v>
      </c>
      <c r="C112" s="29" t="s">
        <v>398</v>
      </c>
      <c r="D112" s="30" t="s">
        <v>12</v>
      </c>
      <c r="E112" s="39">
        <v>1</v>
      </c>
      <c r="F112" s="39">
        <f t="shared" si="10"/>
        <v>1</v>
      </c>
      <c r="G112" s="64">
        <v>187.33</v>
      </c>
      <c r="H112" s="33">
        <f t="shared" si="8"/>
        <v>188</v>
      </c>
      <c r="I112" s="34">
        <f t="shared" si="9"/>
        <v>188</v>
      </c>
      <c r="J112" s="35"/>
      <c r="K112" s="36"/>
      <c r="M112" s="68"/>
      <c r="N112" s="45"/>
      <c r="O112" s="70"/>
      <c r="Q112" s="63"/>
      <c r="R112" s="71"/>
    </row>
    <row r="113" spans="1:18" s="17" customFormat="1" ht="23.25" customHeight="1">
      <c r="A113" s="18">
        <f t="shared" si="11"/>
        <v>87</v>
      </c>
      <c r="B113" s="28" t="s">
        <v>399</v>
      </c>
      <c r="C113" s="29" t="s">
        <v>400</v>
      </c>
      <c r="D113" s="30" t="s">
        <v>30</v>
      </c>
      <c r="E113" s="39">
        <v>6</v>
      </c>
      <c r="F113" s="39">
        <f t="shared" si="10"/>
        <v>6</v>
      </c>
      <c r="G113" s="64">
        <v>2.38</v>
      </c>
      <c r="H113" s="33">
        <f t="shared" si="8"/>
        <v>3</v>
      </c>
      <c r="I113" s="34">
        <f t="shared" si="9"/>
        <v>18</v>
      </c>
      <c r="J113" s="35"/>
      <c r="K113" s="36"/>
      <c r="M113" s="68"/>
      <c r="N113" s="45"/>
      <c r="O113" s="70"/>
      <c r="Q113" s="63"/>
      <c r="R113" s="71"/>
    </row>
    <row r="114" spans="1:18" s="17" customFormat="1" ht="23.25" customHeight="1">
      <c r="A114" s="18">
        <f t="shared" si="11"/>
        <v>88</v>
      </c>
      <c r="B114" s="28" t="s">
        <v>401</v>
      </c>
      <c r="C114" s="29" t="s">
        <v>402</v>
      </c>
      <c r="D114" s="30" t="s">
        <v>30</v>
      </c>
      <c r="E114" s="39">
        <v>319</v>
      </c>
      <c r="F114" s="39">
        <v>377</v>
      </c>
      <c r="G114" s="64">
        <v>2.98</v>
      </c>
      <c r="H114" s="33">
        <f t="shared" si="8"/>
        <v>3</v>
      </c>
      <c r="I114" s="34">
        <f t="shared" si="9"/>
        <v>1131</v>
      </c>
      <c r="J114" s="35"/>
      <c r="K114" s="36"/>
      <c r="M114" s="68"/>
      <c r="N114" s="45"/>
      <c r="O114" s="70"/>
      <c r="Q114" s="63"/>
      <c r="R114" s="71"/>
    </row>
    <row r="115" spans="1:18" s="17" customFormat="1" ht="23.25" customHeight="1">
      <c r="A115" s="18">
        <f t="shared" si="11"/>
        <v>89</v>
      </c>
      <c r="B115" s="28" t="s">
        <v>285</v>
      </c>
      <c r="C115" s="29" t="s">
        <v>403</v>
      </c>
      <c r="D115" s="30" t="s">
        <v>9</v>
      </c>
      <c r="E115" s="39">
        <v>1</v>
      </c>
      <c r="F115" s="39">
        <f t="shared" si="10"/>
        <v>1</v>
      </c>
      <c r="G115" s="64">
        <v>22855.21</v>
      </c>
      <c r="H115" s="33">
        <f t="shared" si="8"/>
        <v>22856</v>
      </c>
      <c r="I115" s="34">
        <f t="shared" si="9"/>
        <v>22856</v>
      </c>
      <c r="J115" s="35"/>
      <c r="K115" s="36"/>
      <c r="M115" s="68"/>
      <c r="N115" s="45"/>
      <c r="O115" s="70"/>
      <c r="Q115" s="63"/>
      <c r="R115" s="71"/>
    </row>
    <row r="116" spans="1:18" s="17" customFormat="1" ht="23.25" customHeight="1">
      <c r="A116" s="18">
        <f t="shared" si="11"/>
        <v>90</v>
      </c>
      <c r="B116" s="28" t="s">
        <v>404</v>
      </c>
      <c r="C116" s="29" t="s">
        <v>537</v>
      </c>
      <c r="D116" s="30" t="s">
        <v>11</v>
      </c>
      <c r="E116" s="39">
        <v>3915</v>
      </c>
      <c r="F116" s="39">
        <f t="shared" si="10"/>
        <v>3915</v>
      </c>
      <c r="G116" s="64">
        <v>2.93</v>
      </c>
      <c r="H116" s="33">
        <f t="shared" si="8"/>
        <v>3</v>
      </c>
      <c r="I116" s="34">
        <f t="shared" si="9"/>
        <v>11745</v>
      </c>
      <c r="J116" s="35"/>
      <c r="K116" s="36"/>
      <c r="M116" s="68"/>
      <c r="N116" s="45"/>
      <c r="Q116" s="63"/>
      <c r="R116" s="71"/>
    </row>
    <row r="117" spans="1:19" s="17" customFormat="1" ht="23.25" customHeight="1">
      <c r="A117" s="18">
        <f t="shared" si="11"/>
        <v>91</v>
      </c>
      <c r="B117" s="28" t="s">
        <v>292</v>
      </c>
      <c r="C117" s="29" t="s">
        <v>293</v>
      </c>
      <c r="D117" s="30" t="s">
        <v>11</v>
      </c>
      <c r="E117" s="39">
        <v>415</v>
      </c>
      <c r="F117" s="39">
        <v>525</v>
      </c>
      <c r="G117" s="64">
        <v>4.2</v>
      </c>
      <c r="H117" s="33">
        <f t="shared" si="8"/>
        <v>5</v>
      </c>
      <c r="I117" s="34">
        <f t="shared" si="9"/>
        <v>2625</v>
      </c>
      <c r="J117" s="35"/>
      <c r="K117" s="36"/>
      <c r="M117" s="68"/>
      <c r="N117" s="45"/>
      <c r="Q117" s="63"/>
      <c r="R117" s="71"/>
      <c r="S117" s="5"/>
    </row>
    <row r="118" spans="1:19" s="17" customFormat="1" ht="23.25" customHeight="1">
      <c r="A118" s="18">
        <f t="shared" si="11"/>
        <v>92</v>
      </c>
      <c r="B118" s="28" t="s">
        <v>406</v>
      </c>
      <c r="C118" s="29" t="s">
        <v>407</v>
      </c>
      <c r="D118" s="30" t="s">
        <v>11</v>
      </c>
      <c r="E118" s="39">
        <v>765</v>
      </c>
      <c r="F118" s="39">
        <f t="shared" si="10"/>
        <v>765</v>
      </c>
      <c r="G118" s="64">
        <v>5.28</v>
      </c>
      <c r="H118" s="33">
        <f t="shared" si="8"/>
        <v>6</v>
      </c>
      <c r="I118" s="34">
        <f t="shared" si="9"/>
        <v>4590</v>
      </c>
      <c r="J118" s="35"/>
      <c r="K118" s="36"/>
      <c r="M118" s="68"/>
      <c r="N118" s="45"/>
      <c r="P118" s="5"/>
      <c r="Q118" s="63"/>
      <c r="R118" s="71"/>
      <c r="S118" s="5"/>
    </row>
    <row r="119" spans="1:20" s="17" customFormat="1" ht="23.25" customHeight="1">
      <c r="A119" s="18">
        <f t="shared" si="11"/>
        <v>93</v>
      </c>
      <c r="B119" s="28" t="s">
        <v>294</v>
      </c>
      <c r="C119" s="37" t="s">
        <v>295</v>
      </c>
      <c r="D119" s="30" t="s">
        <v>79</v>
      </c>
      <c r="E119" s="85">
        <v>0.973</v>
      </c>
      <c r="F119" s="85">
        <f t="shared" si="10"/>
        <v>0.973</v>
      </c>
      <c r="G119" s="64">
        <v>2088.73</v>
      </c>
      <c r="H119" s="33">
        <f t="shared" si="8"/>
        <v>2089</v>
      </c>
      <c r="I119" s="34">
        <f t="shared" si="9"/>
        <v>2033</v>
      </c>
      <c r="J119" s="35"/>
      <c r="K119" s="36"/>
      <c r="M119" s="68"/>
      <c r="N119" s="45"/>
      <c r="P119" s="5"/>
      <c r="T119" s="5"/>
    </row>
    <row r="120" spans="1:20" s="17" customFormat="1" ht="23.25" customHeight="1">
      <c r="A120" s="18">
        <f t="shared" si="11"/>
        <v>94</v>
      </c>
      <c r="B120" s="28" t="s">
        <v>408</v>
      </c>
      <c r="C120" s="37" t="s">
        <v>302</v>
      </c>
      <c r="D120" s="30" t="s">
        <v>12</v>
      </c>
      <c r="E120" s="39">
        <v>12</v>
      </c>
      <c r="F120" s="39">
        <f t="shared" si="10"/>
        <v>12</v>
      </c>
      <c r="G120" s="64">
        <v>135.28</v>
      </c>
      <c r="H120" s="33">
        <f t="shared" si="8"/>
        <v>136</v>
      </c>
      <c r="I120" s="34">
        <f t="shared" si="9"/>
        <v>1632</v>
      </c>
      <c r="J120" s="35"/>
      <c r="K120" s="36"/>
      <c r="M120" s="68"/>
      <c r="N120" s="45"/>
      <c r="P120" s="5"/>
      <c r="T120" s="5"/>
    </row>
    <row r="121" spans="1:20" s="17" customFormat="1" ht="23.25" customHeight="1">
      <c r="A121" s="18">
        <f t="shared" si="11"/>
        <v>95</v>
      </c>
      <c r="B121" s="28" t="s">
        <v>409</v>
      </c>
      <c r="C121" s="37" t="s">
        <v>304</v>
      </c>
      <c r="D121" s="30" t="s">
        <v>12</v>
      </c>
      <c r="E121" s="39">
        <v>151</v>
      </c>
      <c r="F121" s="39">
        <f t="shared" si="10"/>
        <v>151</v>
      </c>
      <c r="G121" s="64">
        <v>72.34</v>
      </c>
      <c r="H121" s="33">
        <f t="shared" si="8"/>
        <v>73</v>
      </c>
      <c r="I121" s="34">
        <f t="shared" si="9"/>
        <v>11023</v>
      </c>
      <c r="J121" s="35"/>
      <c r="K121" s="36"/>
      <c r="M121" s="68"/>
      <c r="N121" s="45"/>
      <c r="P121" s="5"/>
      <c r="T121" s="5"/>
    </row>
    <row r="122" spans="1:20" s="17" customFormat="1" ht="23.25" customHeight="1">
      <c r="A122" s="18">
        <f t="shared" si="11"/>
        <v>96</v>
      </c>
      <c r="B122" s="28" t="s">
        <v>296</v>
      </c>
      <c r="C122" s="37" t="s">
        <v>297</v>
      </c>
      <c r="D122" s="30" t="s">
        <v>11</v>
      </c>
      <c r="E122" s="39">
        <v>325</v>
      </c>
      <c r="F122" s="39">
        <v>445</v>
      </c>
      <c r="G122" s="64">
        <v>3.85</v>
      </c>
      <c r="H122" s="33">
        <f t="shared" si="8"/>
        <v>4</v>
      </c>
      <c r="I122" s="34">
        <f t="shared" si="9"/>
        <v>1780</v>
      </c>
      <c r="J122" s="35"/>
      <c r="K122" s="36"/>
      <c r="M122" s="68"/>
      <c r="N122" s="45"/>
      <c r="P122" s="5"/>
      <c r="Q122" s="72"/>
      <c r="T122" s="5"/>
    </row>
    <row r="123" spans="1:20" s="17" customFormat="1" ht="23.25" customHeight="1">
      <c r="A123" s="18">
        <f t="shared" si="11"/>
        <v>97</v>
      </c>
      <c r="B123" s="28" t="s">
        <v>410</v>
      </c>
      <c r="C123" s="37" t="s">
        <v>411</v>
      </c>
      <c r="D123" s="30" t="s">
        <v>79</v>
      </c>
      <c r="E123" s="85">
        <v>0.157</v>
      </c>
      <c r="F123" s="85">
        <f t="shared" si="10"/>
        <v>0.157</v>
      </c>
      <c r="G123" s="64">
        <v>2267.12</v>
      </c>
      <c r="H123" s="33">
        <f t="shared" si="8"/>
        <v>2268</v>
      </c>
      <c r="I123" s="34">
        <f t="shared" si="9"/>
        <v>357</v>
      </c>
      <c r="J123" s="35"/>
      <c r="K123" s="36"/>
      <c r="M123" s="68"/>
      <c r="N123" s="45"/>
      <c r="P123" s="67"/>
      <c r="Q123" s="72"/>
      <c r="T123" s="5"/>
    </row>
    <row r="124" spans="1:20" s="17" customFormat="1" ht="23.25" customHeight="1">
      <c r="A124" s="18">
        <f t="shared" si="11"/>
        <v>98</v>
      </c>
      <c r="B124" s="28" t="s">
        <v>299</v>
      </c>
      <c r="C124" s="37" t="s">
        <v>300</v>
      </c>
      <c r="D124" s="30" t="s">
        <v>11</v>
      </c>
      <c r="E124" s="39">
        <v>2545</v>
      </c>
      <c r="F124" s="39">
        <f t="shared" si="10"/>
        <v>2545</v>
      </c>
      <c r="G124" s="64">
        <v>15.42</v>
      </c>
      <c r="H124" s="33">
        <f t="shared" si="8"/>
        <v>16</v>
      </c>
      <c r="I124" s="34">
        <f t="shared" si="9"/>
        <v>40720</v>
      </c>
      <c r="J124" s="35"/>
      <c r="K124" s="36"/>
      <c r="M124" s="68"/>
      <c r="N124" s="45"/>
      <c r="P124" s="5"/>
      <c r="T124" s="5"/>
    </row>
    <row r="125" spans="1:20" s="17" customFormat="1" ht="23.25" customHeight="1">
      <c r="A125" s="18">
        <f t="shared" si="11"/>
        <v>99</v>
      </c>
      <c r="B125" s="28" t="s">
        <v>301</v>
      </c>
      <c r="C125" s="37" t="s">
        <v>538</v>
      </c>
      <c r="D125" s="30" t="s">
        <v>12</v>
      </c>
      <c r="E125" s="39">
        <v>46</v>
      </c>
      <c r="F125" s="39">
        <v>43</v>
      </c>
      <c r="G125" s="64">
        <v>225.68</v>
      </c>
      <c r="H125" s="33">
        <f t="shared" si="8"/>
        <v>226</v>
      </c>
      <c r="I125" s="34">
        <f t="shared" si="9"/>
        <v>9718</v>
      </c>
      <c r="J125" s="35"/>
      <c r="K125" s="36"/>
      <c r="M125" s="68"/>
      <c r="N125" s="45"/>
      <c r="O125" s="47"/>
      <c r="P125" s="5"/>
      <c r="Q125" s="5"/>
      <c r="R125" s="5"/>
      <c r="S125" s="5"/>
      <c r="T125" s="5"/>
    </row>
    <row r="126" spans="1:20" s="17" customFormat="1" ht="23.25" customHeight="1">
      <c r="A126" s="18">
        <f t="shared" si="11"/>
        <v>100</v>
      </c>
      <c r="B126" s="28" t="s">
        <v>303</v>
      </c>
      <c r="C126" s="37" t="s">
        <v>539</v>
      </c>
      <c r="D126" s="30" t="s">
        <v>12</v>
      </c>
      <c r="E126" s="39">
        <v>47</v>
      </c>
      <c r="F126" s="39">
        <v>44</v>
      </c>
      <c r="G126" s="64">
        <v>147.66</v>
      </c>
      <c r="H126" s="33">
        <f t="shared" si="8"/>
        <v>148</v>
      </c>
      <c r="I126" s="34">
        <f t="shared" si="9"/>
        <v>6512</v>
      </c>
      <c r="J126" s="35"/>
      <c r="K126" s="36"/>
      <c r="M126" s="68"/>
      <c r="N126" s="45"/>
      <c r="O126" s="47"/>
      <c r="P126" s="5"/>
      <c r="Q126" s="5"/>
      <c r="R126" s="5"/>
      <c r="S126" s="5"/>
      <c r="T126" s="5"/>
    </row>
    <row r="127" spans="1:20" s="17" customFormat="1" ht="23.25" customHeight="1">
      <c r="A127" s="18">
        <f t="shared" si="11"/>
        <v>101</v>
      </c>
      <c r="B127" s="28" t="s">
        <v>412</v>
      </c>
      <c r="C127" s="37" t="s">
        <v>413</v>
      </c>
      <c r="D127" s="30" t="s">
        <v>12</v>
      </c>
      <c r="E127" s="39">
        <v>2</v>
      </c>
      <c r="F127" s="39">
        <f t="shared" si="10"/>
        <v>2</v>
      </c>
      <c r="G127" s="64">
        <v>1886.92</v>
      </c>
      <c r="H127" s="33">
        <f t="shared" si="8"/>
        <v>1887</v>
      </c>
      <c r="I127" s="34">
        <f t="shared" si="9"/>
        <v>3774</v>
      </c>
      <c r="J127" s="35"/>
      <c r="K127" s="36"/>
      <c r="M127" s="68"/>
      <c r="N127" s="45"/>
      <c r="O127" s="47"/>
      <c r="P127" s="5"/>
      <c r="Q127" s="5"/>
      <c r="R127" s="5"/>
      <c r="S127" s="5"/>
      <c r="T127" s="5"/>
    </row>
    <row r="128" spans="1:20" s="17" customFormat="1" ht="23.25" customHeight="1">
      <c r="A128" s="18">
        <f t="shared" si="11"/>
        <v>102</v>
      </c>
      <c r="B128" s="28" t="s">
        <v>305</v>
      </c>
      <c r="C128" s="37" t="s">
        <v>306</v>
      </c>
      <c r="D128" s="30" t="s">
        <v>79</v>
      </c>
      <c r="E128" s="85">
        <v>9.627</v>
      </c>
      <c r="F128" s="85">
        <f t="shared" si="10"/>
        <v>9.627</v>
      </c>
      <c r="G128" s="64">
        <v>4347.82</v>
      </c>
      <c r="H128" s="33">
        <f t="shared" si="8"/>
        <v>4348</v>
      </c>
      <c r="I128" s="34">
        <f t="shared" si="9"/>
        <v>41859</v>
      </c>
      <c r="J128" s="35"/>
      <c r="K128" s="36"/>
      <c r="M128" s="68"/>
      <c r="N128" s="45"/>
      <c r="Q128" s="5"/>
      <c r="R128" s="5"/>
      <c r="S128" s="5"/>
      <c r="T128" s="5"/>
    </row>
    <row r="129" spans="1:20" s="17" customFormat="1" ht="23.25" customHeight="1">
      <c r="A129" s="18">
        <f t="shared" si="11"/>
        <v>103</v>
      </c>
      <c r="B129" s="28" t="s">
        <v>307</v>
      </c>
      <c r="C129" s="37" t="s">
        <v>308</v>
      </c>
      <c r="D129" s="30" t="s">
        <v>79</v>
      </c>
      <c r="E129" s="85">
        <v>0.25</v>
      </c>
      <c r="F129" s="85">
        <f t="shared" si="10"/>
        <v>0.25</v>
      </c>
      <c r="G129" s="64">
        <v>6329.98</v>
      </c>
      <c r="H129" s="33">
        <f t="shared" si="8"/>
        <v>6330</v>
      </c>
      <c r="I129" s="34">
        <f t="shared" si="9"/>
        <v>1583</v>
      </c>
      <c r="J129" s="35"/>
      <c r="K129" s="36"/>
      <c r="M129" s="68"/>
      <c r="N129" s="45"/>
      <c r="Q129" s="5"/>
      <c r="R129" s="5"/>
      <c r="S129" s="5"/>
      <c r="T129" s="5"/>
    </row>
    <row r="130" spans="1:20" s="17" customFormat="1" ht="23.25" customHeight="1">
      <c r="A130" s="18">
        <f t="shared" si="11"/>
        <v>104</v>
      </c>
      <c r="B130" s="28" t="s">
        <v>309</v>
      </c>
      <c r="C130" s="37" t="s">
        <v>310</v>
      </c>
      <c r="D130" s="30" t="s">
        <v>79</v>
      </c>
      <c r="E130" s="85">
        <v>3.118</v>
      </c>
      <c r="F130" s="85">
        <f t="shared" si="10"/>
        <v>3.118</v>
      </c>
      <c r="G130" s="64">
        <v>1479.94</v>
      </c>
      <c r="H130" s="33">
        <f t="shared" si="8"/>
        <v>1480</v>
      </c>
      <c r="I130" s="34">
        <f t="shared" si="9"/>
        <v>4615</v>
      </c>
      <c r="J130" s="35"/>
      <c r="K130" s="36"/>
      <c r="M130" s="68"/>
      <c r="N130" s="45"/>
      <c r="Q130" s="5"/>
      <c r="R130" s="5"/>
      <c r="S130" s="5"/>
      <c r="T130" s="5"/>
    </row>
    <row r="131" spans="1:20" s="17" customFormat="1" ht="22.5" customHeight="1">
      <c r="A131" s="18">
        <f t="shared" si="11"/>
        <v>105</v>
      </c>
      <c r="B131" s="28" t="s">
        <v>311</v>
      </c>
      <c r="C131" s="37" t="s">
        <v>312</v>
      </c>
      <c r="D131" s="30" t="s">
        <v>79</v>
      </c>
      <c r="E131" s="85">
        <v>0.059</v>
      </c>
      <c r="F131" s="85">
        <f t="shared" si="10"/>
        <v>0.059</v>
      </c>
      <c r="G131" s="64">
        <v>2497.74</v>
      </c>
      <c r="H131" s="33">
        <f t="shared" si="8"/>
        <v>2498</v>
      </c>
      <c r="I131" s="34">
        <f>ROUNDUP(F131*H131,0)</f>
        <v>148</v>
      </c>
      <c r="J131" s="35"/>
      <c r="K131" s="36"/>
      <c r="M131" s="68"/>
      <c r="N131" s="45"/>
      <c r="O131" s="5"/>
      <c r="P131" s="5"/>
      <c r="Q131" s="5"/>
      <c r="R131" s="5"/>
      <c r="S131" s="5"/>
      <c r="T131" s="5"/>
    </row>
    <row r="132" spans="1:42" ht="23.25" customHeight="1" thickBot="1">
      <c r="A132" s="18">
        <f t="shared" si="11"/>
        <v>106</v>
      </c>
      <c r="B132" s="28" t="s">
        <v>313</v>
      </c>
      <c r="C132" s="29" t="s">
        <v>314</v>
      </c>
      <c r="D132" s="30" t="s">
        <v>79</v>
      </c>
      <c r="E132" s="85">
        <v>4.595</v>
      </c>
      <c r="F132" s="85">
        <v>4.57</v>
      </c>
      <c r="G132" s="64">
        <v>4318.66</v>
      </c>
      <c r="H132" s="33">
        <f t="shared" si="8"/>
        <v>4319</v>
      </c>
      <c r="I132" s="34">
        <f t="shared" si="9"/>
        <v>19738</v>
      </c>
      <c r="J132" s="15"/>
      <c r="K132" s="15"/>
      <c r="M132" s="41"/>
      <c r="N132" s="45"/>
      <c r="O132" s="17"/>
      <c r="P132" s="11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16" ht="23.25" customHeight="1" thickBot="1" thickTop="1">
      <c r="A133" s="59"/>
      <c r="B133" s="60"/>
      <c r="C133" s="60"/>
      <c r="D133" s="60"/>
      <c r="E133" s="60"/>
      <c r="F133" s="101"/>
      <c r="G133" s="60"/>
      <c r="H133" s="62" t="s">
        <v>151</v>
      </c>
      <c r="I133" s="61">
        <f>SUM(I105:I132)</f>
        <v>445519</v>
      </c>
      <c r="J133" s="15"/>
      <c r="K133" s="15"/>
      <c r="M133" s="16"/>
      <c r="N133" s="16"/>
      <c r="O133" s="17"/>
      <c r="P133" s="11"/>
    </row>
    <row r="134" spans="1:42" s="17" customFormat="1" ht="23.25" customHeight="1" thickBot="1" thickTop="1">
      <c r="A134" s="342" t="s">
        <v>152</v>
      </c>
      <c r="B134" s="343"/>
      <c r="C134" s="343"/>
      <c r="D134" s="343"/>
      <c r="E134" s="343"/>
      <c r="F134" s="343"/>
      <c r="G134" s="343"/>
      <c r="H134" s="343"/>
      <c r="I134" s="344"/>
      <c r="J134" s="35"/>
      <c r="K134" s="113" t="s">
        <v>414</v>
      </c>
      <c r="M134" s="68"/>
      <c r="N134" s="45"/>
      <c r="P134" s="16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16" s="17" customFormat="1" ht="23.25" customHeight="1" thickTop="1">
      <c r="A135" s="18">
        <f>A132+1</f>
        <v>107</v>
      </c>
      <c r="B135" s="19" t="s">
        <v>31</v>
      </c>
      <c r="C135" s="20" t="s">
        <v>45</v>
      </c>
      <c r="D135" s="21" t="s">
        <v>10</v>
      </c>
      <c r="E135" s="22">
        <v>5</v>
      </c>
      <c r="F135" s="39">
        <v>5</v>
      </c>
      <c r="G135" s="24">
        <v>22.73</v>
      </c>
      <c r="H135" s="33">
        <v>27.18</v>
      </c>
      <c r="I135" s="34">
        <f aca="true" t="shared" si="12" ref="I135:I198">ROUNDUP(F135*H135,0)</f>
        <v>136</v>
      </c>
      <c r="J135" s="35"/>
      <c r="K135" s="36"/>
      <c r="M135" s="68"/>
      <c r="N135" s="45"/>
      <c r="P135" s="16"/>
    </row>
    <row r="136" spans="1:16" s="17" customFormat="1" ht="23.25" customHeight="1">
      <c r="A136" s="18">
        <f aca="true" t="shared" si="13" ref="A136:A198">A135+1</f>
        <v>108</v>
      </c>
      <c r="B136" s="28" t="s">
        <v>28</v>
      </c>
      <c r="C136" s="29" t="s">
        <v>415</v>
      </c>
      <c r="D136" s="21" t="s">
        <v>10</v>
      </c>
      <c r="E136" s="22">
        <v>5</v>
      </c>
      <c r="F136" s="39">
        <v>5</v>
      </c>
      <c r="G136" s="24">
        <v>33.56</v>
      </c>
      <c r="H136" s="33">
        <v>34.81</v>
      </c>
      <c r="I136" s="34">
        <f t="shared" si="12"/>
        <v>175</v>
      </c>
      <c r="J136" s="35"/>
      <c r="K136" s="36"/>
      <c r="M136" s="68"/>
      <c r="N136" s="45"/>
      <c r="P136" s="16"/>
    </row>
    <row r="137" spans="1:14" s="17" customFormat="1" ht="23.25" customHeight="1">
      <c r="A137" s="18">
        <f t="shared" si="13"/>
        <v>109</v>
      </c>
      <c r="B137" s="19" t="s">
        <v>156</v>
      </c>
      <c r="C137" s="20" t="s">
        <v>157</v>
      </c>
      <c r="D137" s="21" t="s">
        <v>11</v>
      </c>
      <c r="E137" s="22">
        <v>1105</v>
      </c>
      <c r="F137" s="39">
        <v>1105</v>
      </c>
      <c r="G137" s="24">
        <v>10.5</v>
      </c>
      <c r="H137" s="33">
        <v>10.88</v>
      </c>
      <c r="I137" s="34">
        <f t="shared" si="12"/>
        <v>12023</v>
      </c>
      <c r="J137" s="35"/>
      <c r="K137" s="36"/>
      <c r="M137" s="68"/>
      <c r="N137" s="45"/>
    </row>
    <row r="138" spans="1:17" s="17" customFormat="1" ht="23.25" customHeight="1">
      <c r="A138" s="18">
        <f t="shared" si="13"/>
        <v>110</v>
      </c>
      <c r="B138" s="28" t="s">
        <v>158</v>
      </c>
      <c r="C138" s="29" t="s">
        <v>159</v>
      </c>
      <c r="D138" s="30" t="s">
        <v>11</v>
      </c>
      <c r="E138" s="31">
        <v>21215</v>
      </c>
      <c r="F138" s="39">
        <v>21215</v>
      </c>
      <c r="G138" s="33">
        <v>24.34</v>
      </c>
      <c r="H138" s="33">
        <v>25.73</v>
      </c>
      <c r="I138" s="34">
        <f t="shared" si="12"/>
        <v>545862</v>
      </c>
      <c r="J138" s="35"/>
      <c r="K138" s="36"/>
      <c r="M138" s="68"/>
      <c r="N138" s="45"/>
      <c r="Q138" s="16"/>
    </row>
    <row r="139" spans="1:17" s="17" customFormat="1" ht="23.25" customHeight="1">
      <c r="A139" s="18">
        <f t="shared" si="13"/>
        <v>111</v>
      </c>
      <c r="B139" s="28" t="s">
        <v>416</v>
      </c>
      <c r="C139" s="29" t="s">
        <v>417</v>
      </c>
      <c r="D139" s="30" t="s">
        <v>11</v>
      </c>
      <c r="E139" s="31">
        <v>40</v>
      </c>
      <c r="F139" s="39">
        <v>40</v>
      </c>
      <c r="G139" s="33">
        <v>42.09</v>
      </c>
      <c r="H139" s="33">
        <v>42.37</v>
      </c>
      <c r="I139" s="34">
        <f t="shared" si="12"/>
        <v>1695</v>
      </c>
      <c r="J139" s="35"/>
      <c r="K139" s="36"/>
      <c r="M139" s="68"/>
      <c r="N139" s="45"/>
      <c r="O139" s="70"/>
      <c r="Q139" s="16"/>
    </row>
    <row r="140" spans="1:18" s="17" customFormat="1" ht="23.25" customHeight="1">
      <c r="A140" s="18">
        <f t="shared" si="13"/>
        <v>112</v>
      </c>
      <c r="B140" s="28" t="s">
        <v>189</v>
      </c>
      <c r="C140" s="29" t="s">
        <v>190</v>
      </c>
      <c r="D140" s="30" t="s">
        <v>191</v>
      </c>
      <c r="E140" s="39">
        <v>4</v>
      </c>
      <c r="F140" s="39">
        <v>4</v>
      </c>
      <c r="G140" s="33">
        <v>9043.66</v>
      </c>
      <c r="H140" s="33">
        <v>10445.47</v>
      </c>
      <c r="I140" s="34">
        <f t="shared" si="12"/>
        <v>41782</v>
      </c>
      <c r="J140" s="35"/>
      <c r="K140" s="36"/>
      <c r="M140" s="68"/>
      <c r="N140" s="45"/>
      <c r="Q140" s="63"/>
      <c r="R140" s="71"/>
    </row>
    <row r="141" spans="1:19" s="17" customFormat="1" ht="23.25" customHeight="1">
      <c r="A141" s="18">
        <f t="shared" si="13"/>
        <v>113</v>
      </c>
      <c r="B141" s="28" t="s">
        <v>192</v>
      </c>
      <c r="C141" s="29" t="s">
        <v>193</v>
      </c>
      <c r="D141" s="30" t="s">
        <v>191</v>
      </c>
      <c r="E141" s="39">
        <v>2</v>
      </c>
      <c r="F141" s="39">
        <v>2</v>
      </c>
      <c r="G141" s="33">
        <v>729.83</v>
      </c>
      <c r="H141" s="33">
        <v>800.48</v>
      </c>
      <c r="I141" s="34">
        <f t="shared" si="12"/>
        <v>1601</v>
      </c>
      <c r="J141" s="35"/>
      <c r="K141" s="36"/>
      <c r="M141" s="68"/>
      <c r="N141" s="45"/>
      <c r="P141" s="5"/>
      <c r="Q141" s="63"/>
      <c r="R141" s="71"/>
      <c r="S141" s="5"/>
    </row>
    <row r="142" spans="1:20" s="17" customFormat="1" ht="23.25" customHeight="1">
      <c r="A142" s="18">
        <f t="shared" si="13"/>
        <v>114</v>
      </c>
      <c r="B142" s="28" t="s">
        <v>194</v>
      </c>
      <c r="C142" s="29" t="s">
        <v>195</v>
      </c>
      <c r="D142" s="30" t="s">
        <v>11</v>
      </c>
      <c r="E142" s="39">
        <v>4075</v>
      </c>
      <c r="F142" s="39">
        <v>4075</v>
      </c>
      <c r="G142" s="33">
        <v>3.01</v>
      </c>
      <c r="H142" s="33">
        <v>3.12</v>
      </c>
      <c r="I142" s="34">
        <f t="shared" si="12"/>
        <v>12714</v>
      </c>
      <c r="J142" s="35"/>
      <c r="K142" s="36"/>
      <c r="M142" s="68"/>
      <c r="N142" s="45"/>
      <c r="P142" s="5"/>
      <c r="T142" s="5"/>
    </row>
    <row r="143" spans="1:20" s="17" customFormat="1" ht="23.25" customHeight="1">
      <c r="A143" s="18">
        <f t="shared" si="13"/>
        <v>115</v>
      </c>
      <c r="B143" s="28" t="s">
        <v>196</v>
      </c>
      <c r="C143" s="29" t="s">
        <v>197</v>
      </c>
      <c r="D143" s="30" t="s">
        <v>11</v>
      </c>
      <c r="E143" s="39">
        <v>17345</v>
      </c>
      <c r="F143" s="39">
        <v>17345</v>
      </c>
      <c r="G143" s="33">
        <v>2.3</v>
      </c>
      <c r="H143" s="33">
        <v>2.3</v>
      </c>
      <c r="I143" s="34">
        <f t="shared" si="12"/>
        <v>39894</v>
      </c>
      <c r="J143" s="35"/>
      <c r="K143" s="36"/>
      <c r="M143" s="68"/>
      <c r="N143" s="45"/>
      <c r="P143" s="5"/>
      <c r="Q143" s="72"/>
      <c r="T143" s="5"/>
    </row>
    <row r="144" spans="1:20" s="17" customFormat="1" ht="23.25" customHeight="1">
      <c r="A144" s="18">
        <f t="shared" si="13"/>
        <v>116</v>
      </c>
      <c r="B144" s="28" t="s">
        <v>514</v>
      </c>
      <c r="C144" s="37" t="s">
        <v>515</v>
      </c>
      <c r="D144" s="30" t="s">
        <v>11</v>
      </c>
      <c r="E144" s="39">
        <v>3185</v>
      </c>
      <c r="F144" s="39">
        <v>3185</v>
      </c>
      <c r="G144" s="33">
        <v>0.39</v>
      </c>
      <c r="H144" s="33">
        <v>0.35</v>
      </c>
      <c r="I144" s="34">
        <f t="shared" si="12"/>
        <v>1115</v>
      </c>
      <c r="J144" s="35"/>
      <c r="K144" s="36"/>
      <c r="M144" s="68"/>
      <c r="N144" s="45"/>
      <c r="P144" s="5"/>
      <c r="Q144" s="72"/>
      <c r="T144" s="5"/>
    </row>
    <row r="145" spans="1:20" s="17" customFormat="1" ht="23.25" customHeight="1">
      <c r="A145" s="18">
        <f t="shared" si="13"/>
        <v>117</v>
      </c>
      <c r="B145" s="28" t="s">
        <v>198</v>
      </c>
      <c r="C145" s="37" t="s">
        <v>199</v>
      </c>
      <c r="D145" s="30" t="s">
        <v>12</v>
      </c>
      <c r="E145" s="39">
        <v>28</v>
      </c>
      <c r="F145" s="39">
        <v>28</v>
      </c>
      <c r="G145" s="33">
        <v>37.7</v>
      </c>
      <c r="H145" s="33">
        <v>37.73</v>
      </c>
      <c r="I145" s="34">
        <f t="shared" si="12"/>
        <v>1057</v>
      </c>
      <c r="J145" s="35"/>
      <c r="K145" s="36"/>
      <c r="M145" s="68"/>
      <c r="N145" s="45"/>
      <c r="P145" s="5"/>
      <c r="Q145" s="72"/>
      <c r="T145" s="5"/>
    </row>
    <row r="146" spans="1:20" s="17" customFormat="1" ht="23.25" customHeight="1">
      <c r="A146" s="18">
        <f t="shared" si="13"/>
        <v>118</v>
      </c>
      <c r="B146" s="28" t="s">
        <v>200</v>
      </c>
      <c r="C146" s="37" t="s">
        <v>201</v>
      </c>
      <c r="D146" s="30" t="s">
        <v>12</v>
      </c>
      <c r="E146" s="39">
        <v>72</v>
      </c>
      <c r="F146" s="39">
        <v>72</v>
      </c>
      <c r="G146" s="33">
        <v>75.86</v>
      </c>
      <c r="H146" s="33">
        <v>71.98</v>
      </c>
      <c r="I146" s="34">
        <f t="shared" si="12"/>
        <v>5183</v>
      </c>
      <c r="J146" s="35"/>
      <c r="K146" s="36"/>
      <c r="M146" s="68"/>
      <c r="N146" s="45"/>
      <c r="P146" s="5"/>
      <c r="Q146" s="72"/>
      <c r="T146" s="5"/>
    </row>
    <row r="147" spans="1:20" s="17" customFormat="1" ht="23.25" customHeight="1">
      <c r="A147" s="18">
        <f t="shared" si="13"/>
        <v>119</v>
      </c>
      <c r="B147" s="28" t="s">
        <v>202</v>
      </c>
      <c r="C147" s="37" t="s">
        <v>203</v>
      </c>
      <c r="D147" s="30" t="s">
        <v>12</v>
      </c>
      <c r="E147" s="39">
        <v>8</v>
      </c>
      <c r="F147" s="39">
        <v>8</v>
      </c>
      <c r="G147" s="33">
        <v>790.23</v>
      </c>
      <c r="H147" s="33">
        <v>790.73</v>
      </c>
      <c r="I147" s="34">
        <f t="shared" si="12"/>
        <v>6326</v>
      </c>
      <c r="J147" s="35"/>
      <c r="K147" s="36"/>
      <c r="M147" s="68"/>
      <c r="N147" s="45"/>
      <c r="P147" s="5"/>
      <c r="Q147" s="72"/>
      <c r="T147" s="5"/>
    </row>
    <row r="148" spans="1:20" s="17" customFormat="1" ht="23.25" customHeight="1">
      <c r="A148" s="18">
        <f t="shared" si="13"/>
        <v>120</v>
      </c>
      <c r="B148" s="28" t="s">
        <v>204</v>
      </c>
      <c r="C148" s="37" t="s">
        <v>205</v>
      </c>
      <c r="D148" s="30" t="s">
        <v>12</v>
      </c>
      <c r="E148" s="39">
        <v>8</v>
      </c>
      <c r="F148" s="39">
        <v>8</v>
      </c>
      <c r="G148" s="33">
        <v>43.66</v>
      </c>
      <c r="H148" s="33">
        <v>43.66</v>
      </c>
      <c r="I148" s="34">
        <f t="shared" si="12"/>
        <v>350</v>
      </c>
      <c r="J148" s="35"/>
      <c r="K148" s="36"/>
      <c r="M148" s="68"/>
      <c r="N148" s="45"/>
      <c r="P148" s="5"/>
      <c r="Q148" s="72"/>
      <c r="T148" s="5"/>
    </row>
    <row r="149" spans="1:20" s="17" customFormat="1" ht="23.25" customHeight="1">
      <c r="A149" s="18">
        <f t="shared" si="13"/>
        <v>121</v>
      </c>
      <c r="B149" s="28" t="s">
        <v>206</v>
      </c>
      <c r="C149" s="37" t="s">
        <v>207</v>
      </c>
      <c r="D149" s="30" t="s">
        <v>12</v>
      </c>
      <c r="E149" s="39">
        <v>6</v>
      </c>
      <c r="F149" s="39">
        <v>6</v>
      </c>
      <c r="G149" s="33">
        <v>966.56</v>
      </c>
      <c r="H149" s="33">
        <v>973.55</v>
      </c>
      <c r="I149" s="34">
        <f t="shared" si="12"/>
        <v>5842</v>
      </c>
      <c r="J149" s="35"/>
      <c r="K149" s="36"/>
      <c r="M149" s="68"/>
      <c r="N149" s="45"/>
      <c r="P149" s="5"/>
      <c r="Q149" s="72"/>
      <c r="T149" s="5"/>
    </row>
    <row r="150" spans="1:20" s="17" customFormat="1" ht="23.25" customHeight="1">
      <c r="A150" s="18">
        <f t="shared" si="13"/>
        <v>122</v>
      </c>
      <c r="B150" s="28" t="s">
        <v>208</v>
      </c>
      <c r="C150" s="37" t="s">
        <v>209</v>
      </c>
      <c r="D150" s="30" t="s">
        <v>191</v>
      </c>
      <c r="E150" s="39">
        <v>1</v>
      </c>
      <c r="F150" s="39">
        <v>1</v>
      </c>
      <c r="G150" s="33">
        <v>920.99</v>
      </c>
      <c r="H150" s="33">
        <v>864.35</v>
      </c>
      <c r="I150" s="34">
        <f t="shared" si="12"/>
        <v>865</v>
      </c>
      <c r="J150" s="35"/>
      <c r="K150" s="36"/>
      <c r="M150" s="68"/>
      <c r="N150" s="45"/>
      <c r="P150" s="5"/>
      <c r="Q150" s="72"/>
      <c r="T150" s="5"/>
    </row>
    <row r="151" spans="1:20" s="17" customFormat="1" ht="23.25" customHeight="1">
      <c r="A151" s="18">
        <f t="shared" si="13"/>
        <v>123</v>
      </c>
      <c r="B151" s="28" t="s">
        <v>160</v>
      </c>
      <c r="C151" s="37" t="s">
        <v>516</v>
      </c>
      <c r="D151" s="30" t="s">
        <v>12</v>
      </c>
      <c r="E151" s="39">
        <v>71</v>
      </c>
      <c r="F151" s="39">
        <v>71</v>
      </c>
      <c r="G151" s="33">
        <v>885.98</v>
      </c>
      <c r="H151" s="33">
        <v>963.33</v>
      </c>
      <c r="I151" s="34">
        <f t="shared" si="12"/>
        <v>68397</v>
      </c>
      <c r="J151" s="35"/>
      <c r="K151" s="36"/>
      <c r="M151" s="68"/>
      <c r="N151" s="45"/>
      <c r="P151" s="5"/>
      <c r="Q151" s="72"/>
      <c r="T151" s="5"/>
    </row>
    <row r="152" spans="1:20" s="17" customFormat="1" ht="23.25" customHeight="1">
      <c r="A152" s="18">
        <f t="shared" si="13"/>
        <v>124</v>
      </c>
      <c r="B152" s="28" t="s">
        <v>211</v>
      </c>
      <c r="C152" s="37" t="s">
        <v>212</v>
      </c>
      <c r="D152" s="30" t="s">
        <v>12</v>
      </c>
      <c r="E152" s="39">
        <v>32</v>
      </c>
      <c r="F152" s="39">
        <v>32</v>
      </c>
      <c r="G152" s="33">
        <v>1115.87</v>
      </c>
      <c r="H152" s="33">
        <v>1124.01</v>
      </c>
      <c r="I152" s="34">
        <f t="shared" si="12"/>
        <v>35969</v>
      </c>
      <c r="J152" s="35"/>
      <c r="K152" s="36"/>
      <c r="M152" s="68"/>
      <c r="N152" s="45"/>
      <c r="P152" s="5"/>
      <c r="Q152" s="72"/>
      <c r="T152" s="5"/>
    </row>
    <row r="153" spans="1:20" s="17" customFormat="1" ht="23.25" customHeight="1">
      <c r="A153" s="18">
        <f t="shared" si="13"/>
        <v>125</v>
      </c>
      <c r="B153" s="28" t="s">
        <v>213</v>
      </c>
      <c r="C153" s="37" t="s">
        <v>214</v>
      </c>
      <c r="D153" s="30" t="s">
        <v>12</v>
      </c>
      <c r="E153" s="39">
        <v>5</v>
      </c>
      <c r="F153" s="39">
        <v>5</v>
      </c>
      <c r="G153" s="33">
        <v>2942</v>
      </c>
      <c r="H153" s="33">
        <v>3102.5</v>
      </c>
      <c r="I153" s="34">
        <f t="shared" si="12"/>
        <v>15513</v>
      </c>
      <c r="J153" s="35"/>
      <c r="K153" s="36"/>
      <c r="M153" s="68"/>
      <c r="N153" s="45"/>
      <c r="P153" s="5"/>
      <c r="Q153" s="72"/>
      <c r="T153" s="5"/>
    </row>
    <row r="154" spans="1:20" s="17" customFormat="1" ht="23.25" customHeight="1">
      <c r="A154" s="18">
        <f t="shared" si="13"/>
        <v>126</v>
      </c>
      <c r="B154" s="28" t="s">
        <v>162</v>
      </c>
      <c r="C154" s="29" t="s">
        <v>163</v>
      </c>
      <c r="D154" s="30" t="s">
        <v>34</v>
      </c>
      <c r="E154" s="39">
        <v>4</v>
      </c>
      <c r="F154" s="39">
        <v>4</v>
      </c>
      <c r="G154" s="33">
        <v>3942.95</v>
      </c>
      <c r="H154" s="33">
        <v>3929.34</v>
      </c>
      <c r="I154" s="34">
        <f t="shared" si="12"/>
        <v>15718</v>
      </c>
      <c r="J154" s="35"/>
      <c r="K154" s="36"/>
      <c r="M154" s="68"/>
      <c r="N154" s="45"/>
      <c r="P154" s="5"/>
      <c r="Q154" s="72"/>
      <c r="T154" s="5"/>
    </row>
    <row r="155" spans="1:20" s="17" customFormat="1" ht="23.25" customHeight="1">
      <c r="A155" s="18">
        <f t="shared" si="13"/>
        <v>127</v>
      </c>
      <c r="B155" s="28" t="s">
        <v>517</v>
      </c>
      <c r="C155" s="29" t="s">
        <v>518</v>
      </c>
      <c r="D155" s="30" t="s">
        <v>34</v>
      </c>
      <c r="E155" s="39">
        <v>1</v>
      </c>
      <c r="F155" s="39">
        <v>1</v>
      </c>
      <c r="G155" s="33">
        <v>1500</v>
      </c>
      <c r="H155" s="33">
        <v>2270.93</v>
      </c>
      <c r="I155" s="34">
        <f t="shared" si="12"/>
        <v>2271</v>
      </c>
      <c r="J155" s="35"/>
      <c r="K155" s="36"/>
      <c r="M155" s="68"/>
      <c r="N155" s="45"/>
      <c r="P155" s="5"/>
      <c r="Q155" s="72"/>
      <c r="T155" s="5"/>
    </row>
    <row r="156" spans="1:20" s="17" customFormat="1" ht="23.25" customHeight="1">
      <c r="A156" s="18">
        <f t="shared" si="13"/>
        <v>128</v>
      </c>
      <c r="B156" s="28" t="s">
        <v>215</v>
      </c>
      <c r="C156" s="29" t="s">
        <v>216</v>
      </c>
      <c r="D156" s="30" t="s">
        <v>34</v>
      </c>
      <c r="E156" s="39">
        <v>1</v>
      </c>
      <c r="F156" s="39">
        <v>1</v>
      </c>
      <c r="G156" s="33">
        <v>1650</v>
      </c>
      <c r="H156" s="33">
        <v>1650</v>
      </c>
      <c r="I156" s="34">
        <f t="shared" si="12"/>
        <v>1650</v>
      </c>
      <c r="J156" s="35"/>
      <c r="K156" s="36"/>
      <c r="M156" s="68"/>
      <c r="N156" s="45"/>
      <c r="P156" s="5"/>
      <c r="Q156" s="72"/>
      <c r="T156" s="5"/>
    </row>
    <row r="157" spans="1:20" s="17" customFormat="1" ht="23.25" customHeight="1">
      <c r="A157" s="18">
        <f t="shared" si="13"/>
        <v>129</v>
      </c>
      <c r="B157" s="28" t="s">
        <v>217</v>
      </c>
      <c r="C157" s="29" t="s">
        <v>218</v>
      </c>
      <c r="D157" s="30" t="s">
        <v>34</v>
      </c>
      <c r="E157" s="39">
        <v>1</v>
      </c>
      <c r="F157" s="39">
        <v>1</v>
      </c>
      <c r="G157" s="33">
        <v>686.35</v>
      </c>
      <c r="H157" s="33">
        <v>599.94</v>
      </c>
      <c r="I157" s="34">
        <f t="shared" si="12"/>
        <v>600</v>
      </c>
      <c r="J157" s="35"/>
      <c r="K157" s="36"/>
      <c r="M157" s="68"/>
      <c r="N157" s="45"/>
      <c r="P157" s="5"/>
      <c r="Q157" s="72"/>
      <c r="T157" s="5"/>
    </row>
    <row r="158" spans="1:20" s="17" customFormat="1" ht="23.25" customHeight="1">
      <c r="A158" s="18">
        <f t="shared" si="13"/>
        <v>130</v>
      </c>
      <c r="B158" s="28" t="s">
        <v>219</v>
      </c>
      <c r="C158" s="29" t="s">
        <v>220</v>
      </c>
      <c r="D158" s="30" t="s">
        <v>11</v>
      </c>
      <c r="E158" s="39">
        <v>2105</v>
      </c>
      <c r="F158" s="39">
        <v>2105</v>
      </c>
      <c r="G158" s="33">
        <v>8</v>
      </c>
      <c r="H158" s="33">
        <v>2.96</v>
      </c>
      <c r="I158" s="34">
        <f t="shared" si="12"/>
        <v>6231</v>
      </c>
      <c r="J158" s="35"/>
      <c r="K158" s="36"/>
      <c r="M158" s="68"/>
      <c r="N158" s="45"/>
      <c r="P158" s="5"/>
      <c r="Q158" s="72"/>
      <c r="T158" s="5"/>
    </row>
    <row r="159" spans="1:20" s="17" customFormat="1" ht="23.25" customHeight="1">
      <c r="A159" s="18">
        <f t="shared" si="13"/>
        <v>131</v>
      </c>
      <c r="B159" s="28" t="s">
        <v>519</v>
      </c>
      <c r="C159" s="37" t="s">
        <v>520</v>
      </c>
      <c r="D159" s="30" t="s">
        <v>11</v>
      </c>
      <c r="E159" s="39">
        <v>1760</v>
      </c>
      <c r="F159" s="39">
        <v>1760</v>
      </c>
      <c r="G159" s="33">
        <v>1</v>
      </c>
      <c r="H159" s="33">
        <v>1</v>
      </c>
      <c r="I159" s="34">
        <f t="shared" si="12"/>
        <v>1760</v>
      </c>
      <c r="J159" s="35"/>
      <c r="K159" s="36"/>
      <c r="M159" s="68"/>
      <c r="N159" s="45"/>
      <c r="P159" s="5"/>
      <c r="Q159" s="72"/>
      <c r="T159" s="5"/>
    </row>
    <row r="160" spans="1:20" s="17" customFormat="1" ht="23.25" customHeight="1">
      <c r="A160" s="18">
        <f t="shared" si="13"/>
        <v>132</v>
      </c>
      <c r="B160" s="28" t="s">
        <v>419</v>
      </c>
      <c r="C160" s="37" t="s">
        <v>420</v>
      </c>
      <c r="D160" s="30" t="s">
        <v>12</v>
      </c>
      <c r="E160" s="39">
        <v>2</v>
      </c>
      <c r="F160" s="39">
        <v>2</v>
      </c>
      <c r="G160" s="33">
        <v>1299.67</v>
      </c>
      <c r="H160" s="33">
        <v>1367</v>
      </c>
      <c r="I160" s="34">
        <f t="shared" si="12"/>
        <v>2734</v>
      </c>
      <c r="J160" s="35"/>
      <c r="K160" s="36"/>
      <c r="M160" s="68"/>
      <c r="N160" s="45"/>
      <c r="P160" s="5"/>
      <c r="Q160" s="72"/>
      <c r="T160" s="5"/>
    </row>
    <row r="161" spans="1:20" s="17" customFormat="1" ht="23.25" customHeight="1">
      <c r="A161" s="18">
        <f t="shared" si="13"/>
        <v>133</v>
      </c>
      <c r="B161" s="28" t="s">
        <v>521</v>
      </c>
      <c r="C161" s="37" t="s">
        <v>522</v>
      </c>
      <c r="D161" s="30" t="s">
        <v>12</v>
      </c>
      <c r="E161" s="38">
        <v>3</v>
      </c>
      <c r="F161" s="39">
        <v>3</v>
      </c>
      <c r="G161" s="33">
        <v>2000</v>
      </c>
      <c r="H161" s="33">
        <v>4000</v>
      </c>
      <c r="I161" s="34">
        <f t="shared" si="12"/>
        <v>12000</v>
      </c>
      <c r="J161" s="35"/>
      <c r="K161" s="36"/>
      <c r="M161" s="68"/>
      <c r="N161" s="45"/>
      <c r="P161" s="5"/>
      <c r="Q161" s="72"/>
      <c r="T161" s="5"/>
    </row>
    <row r="162" spans="1:20" s="17" customFormat="1" ht="23.25" customHeight="1">
      <c r="A162" s="18">
        <f t="shared" si="13"/>
        <v>134</v>
      </c>
      <c r="B162" s="28" t="s">
        <v>221</v>
      </c>
      <c r="C162" s="37" t="s">
        <v>222</v>
      </c>
      <c r="D162" s="30" t="s">
        <v>12</v>
      </c>
      <c r="E162" s="38">
        <v>6</v>
      </c>
      <c r="F162" s="39">
        <v>6</v>
      </c>
      <c r="G162" s="33">
        <v>1584.04</v>
      </c>
      <c r="H162" s="33">
        <v>1693.23</v>
      </c>
      <c r="I162" s="34">
        <f t="shared" si="12"/>
        <v>10160</v>
      </c>
      <c r="J162" s="35"/>
      <c r="K162" s="36"/>
      <c r="M162" s="68"/>
      <c r="N162" s="45"/>
      <c r="P162" s="5"/>
      <c r="Q162" s="72"/>
      <c r="T162" s="5"/>
    </row>
    <row r="163" spans="1:20" s="17" customFormat="1" ht="23.25" customHeight="1">
      <c r="A163" s="18">
        <f t="shared" si="13"/>
        <v>135</v>
      </c>
      <c r="B163" s="28" t="s">
        <v>223</v>
      </c>
      <c r="C163" s="37" t="s">
        <v>224</v>
      </c>
      <c r="D163" s="30" t="s">
        <v>12</v>
      </c>
      <c r="E163" s="38">
        <v>7</v>
      </c>
      <c r="F163" s="39">
        <v>7</v>
      </c>
      <c r="G163" s="33">
        <v>15250</v>
      </c>
      <c r="H163" s="33">
        <v>9596.48</v>
      </c>
      <c r="I163" s="34">
        <f t="shared" si="12"/>
        <v>67176</v>
      </c>
      <c r="J163" s="35"/>
      <c r="K163" s="36"/>
      <c r="M163" s="68"/>
      <c r="N163" s="45"/>
      <c r="P163" s="5"/>
      <c r="Q163" s="72"/>
      <c r="T163" s="5"/>
    </row>
    <row r="164" spans="1:20" s="17" customFormat="1" ht="23.25" customHeight="1">
      <c r="A164" s="18">
        <f t="shared" si="13"/>
        <v>136</v>
      </c>
      <c r="B164" s="28" t="s">
        <v>225</v>
      </c>
      <c r="C164" s="37" t="s">
        <v>226</v>
      </c>
      <c r="D164" s="30" t="s">
        <v>12</v>
      </c>
      <c r="E164" s="38">
        <v>2</v>
      </c>
      <c r="F164" s="39">
        <v>2</v>
      </c>
      <c r="G164" s="33">
        <v>1708</v>
      </c>
      <c r="H164" s="33">
        <v>718.75</v>
      </c>
      <c r="I164" s="34">
        <f t="shared" si="12"/>
        <v>1438</v>
      </c>
      <c r="J164" s="35"/>
      <c r="K164" s="36"/>
      <c r="M164" s="68"/>
      <c r="N164" s="45"/>
      <c r="P164" s="5"/>
      <c r="Q164" s="72"/>
      <c r="T164" s="5"/>
    </row>
    <row r="165" spans="1:20" s="17" customFormat="1" ht="23.25" customHeight="1">
      <c r="A165" s="18">
        <f t="shared" si="13"/>
        <v>137</v>
      </c>
      <c r="B165" s="28" t="s">
        <v>227</v>
      </c>
      <c r="C165" s="37" t="s">
        <v>228</v>
      </c>
      <c r="D165" s="30" t="s">
        <v>12</v>
      </c>
      <c r="E165" s="39">
        <v>2</v>
      </c>
      <c r="F165" s="39">
        <v>2</v>
      </c>
      <c r="G165" s="33">
        <v>7100</v>
      </c>
      <c r="H165" s="33">
        <v>8672.72</v>
      </c>
      <c r="I165" s="34">
        <f t="shared" si="12"/>
        <v>17346</v>
      </c>
      <c r="J165" s="35"/>
      <c r="K165" s="36"/>
      <c r="M165" s="68"/>
      <c r="N165" s="45"/>
      <c r="P165" s="5"/>
      <c r="Q165" s="72"/>
      <c r="T165" s="5"/>
    </row>
    <row r="166" spans="1:20" s="17" customFormat="1" ht="23.25" customHeight="1">
      <c r="A166" s="18">
        <f t="shared" si="13"/>
        <v>138</v>
      </c>
      <c r="B166" s="28" t="s">
        <v>229</v>
      </c>
      <c r="C166" s="37" t="s">
        <v>230</v>
      </c>
      <c r="D166" s="30" t="s">
        <v>12</v>
      </c>
      <c r="E166" s="39">
        <v>30</v>
      </c>
      <c r="F166" s="39">
        <v>30</v>
      </c>
      <c r="G166" s="33">
        <v>1404.45</v>
      </c>
      <c r="H166" s="33">
        <v>1472.66</v>
      </c>
      <c r="I166" s="34">
        <f t="shared" si="12"/>
        <v>44180</v>
      </c>
      <c r="J166" s="35"/>
      <c r="K166" s="36"/>
      <c r="M166" s="68"/>
      <c r="N166" s="45"/>
      <c r="P166" s="5"/>
      <c r="Q166" s="72"/>
      <c r="T166" s="5"/>
    </row>
    <row r="167" spans="1:20" s="17" customFormat="1" ht="23.25" customHeight="1">
      <c r="A167" s="18">
        <f t="shared" si="13"/>
        <v>139</v>
      </c>
      <c r="B167" s="28" t="s">
        <v>231</v>
      </c>
      <c r="C167" s="37" t="s">
        <v>232</v>
      </c>
      <c r="D167" s="30" t="s">
        <v>12</v>
      </c>
      <c r="E167" s="39">
        <v>4</v>
      </c>
      <c r="F167" s="39">
        <v>4</v>
      </c>
      <c r="G167" s="33">
        <v>227.81</v>
      </c>
      <c r="H167" s="33">
        <v>229.17</v>
      </c>
      <c r="I167" s="34">
        <f t="shared" si="12"/>
        <v>917</v>
      </c>
      <c r="J167" s="35"/>
      <c r="K167" s="36"/>
      <c r="M167" s="68"/>
      <c r="N167" s="45"/>
      <c r="P167" s="5"/>
      <c r="Q167" s="72"/>
      <c r="T167" s="5"/>
    </row>
    <row r="168" spans="1:20" s="17" customFormat="1" ht="23.25" customHeight="1">
      <c r="A168" s="18">
        <f t="shared" si="13"/>
        <v>140</v>
      </c>
      <c r="B168" s="28" t="s">
        <v>235</v>
      </c>
      <c r="C168" s="29" t="s">
        <v>236</v>
      </c>
      <c r="D168" s="30" t="s">
        <v>12</v>
      </c>
      <c r="E168" s="39">
        <v>6</v>
      </c>
      <c r="F168" s="39">
        <v>6</v>
      </c>
      <c r="G168" s="33">
        <v>57552.78</v>
      </c>
      <c r="H168" s="33">
        <v>55853.58</v>
      </c>
      <c r="I168" s="34">
        <f t="shared" si="12"/>
        <v>335122</v>
      </c>
      <c r="J168" s="35"/>
      <c r="K168" s="36"/>
      <c r="M168" s="68"/>
      <c r="N168" s="45"/>
      <c r="P168" s="5"/>
      <c r="Q168" s="72"/>
      <c r="T168" s="5"/>
    </row>
    <row r="169" spans="1:20" s="17" customFormat="1" ht="23.25" customHeight="1">
      <c r="A169" s="18">
        <f t="shared" si="13"/>
        <v>141</v>
      </c>
      <c r="B169" s="28" t="s">
        <v>237</v>
      </c>
      <c r="C169" s="29" t="s">
        <v>238</v>
      </c>
      <c r="D169" s="30" t="s">
        <v>12</v>
      </c>
      <c r="E169" s="39">
        <v>7</v>
      </c>
      <c r="F169" s="39">
        <v>7</v>
      </c>
      <c r="G169" s="33">
        <v>63767.03</v>
      </c>
      <c r="H169" s="33">
        <v>74734.36</v>
      </c>
      <c r="I169" s="34">
        <f t="shared" si="12"/>
        <v>523141</v>
      </c>
      <c r="J169" s="35"/>
      <c r="K169" s="36"/>
      <c r="M169" s="68"/>
      <c r="N169" s="45"/>
      <c r="P169" s="5"/>
      <c r="Q169" s="72"/>
      <c r="T169" s="5"/>
    </row>
    <row r="170" spans="1:20" s="17" customFormat="1" ht="23.25" customHeight="1">
      <c r="A170" s="18">
        <f t="shared" si="13"/>
        <v>142</v>
      </c>
      <c r="B170" s="28" t="s">
        <v>421</v>
      </c>
      <c r="C170" s="29" t="s">
        <v>422</v>
      </c>
      <c r="D170" s="30" t="s">
        <v>12</v>
      </c>
      <c r="E170" s="39">
        <v>1</v>
      </c>
      <c r="F170" s="39">
        <v>1</v>
      </c>
      <c r="G170" s="33">
        <v>5000</v>
      </c>
      <c r="H170" s="33">
        <v>4791.58</v>
      </c>
      <c r="I170" s="34">
        <f t="shared" si="12"/>
        <v>4792</v>
      </c>
      <c r="J170" s="35"/>
      <c r="K170" s="36"/>
      <c r="M170" s="68"/>
      <c r="N170" s="45"/>
      <c r="P170" s="5"/>
      <c r="Q170" s="72"/>
      <c r="T170" s="5"/>
    </row>
    <row r="171" spans="1:20" s="17" customFormat="1" ht="23.25" customHeight="1">
      <c r="A171" s="18">
        <f t="shared" si="13"/>
        <v>143</v>
      </c>
      <c r="B171" s="28" t="s">
        <v>239</v>
      </c>
      <c r="C171" s="37" t="s">
        <v>240</v>
      </c>
      <c r="D171" s="30" t="s">
        <v>34</v>
      </c>
      <c r="E171" s="39">
        <v>25</v>
      </c>
      <c r="F171" s="39">
        <v>23</v>
      </c>
      <c r="G171" s="33">
        <v>914.14</v>
      </c>
      <c r="H171" s="33">
        <v>1022.61</v>
      </c>
      <c r="I171" s="34">
        <f t="shared" si="12"/>
        <v>23521</v>
      </c>
      <c r="J171" s="35"/>
      <c r="K171" s="36"/>
      <c r="M171" s="68"/>
      <c r="N171" s="45"/>
      <c r="P171" s="5"/>
      <c r="Q171" s="72"/>
      <c r="T171" s="5"/>
    </row>
    <row r="172" spans="1:20" s="17" customFormat="1" ht="23.25" customHeight="1">
      <c r="A172" s="18">
        <f t="shared" si="13"/>
        <v>144</v>
      </c>
      <c r="B172" s="28" t="s">
        <v>241</v>
      </c>
      <c r="C172" s="37" t="s">
        <v>242</v>
      </c>
      <c r="D172" s="30" t="s">
        <v>34</v>
      </c>
      <c r="E172" s="39">
        <v>10</v>
      </c>
      <c r="F172" s="39">
        <v>10</v>
      </c>
      <c r="G172" s="33">
        <v>1221.5</v>
      </c>
      <c r="H172" s="33">
        <v>1308.88</v>
      </c>
      <c r="I172" s="34">
        <f t="shared" si="12"/>
        <v>13089</v>
      </c>
      <c r="J172" s="35"/>
      <c r="K172" s="36"/>
      <c r="M172" s="68"/>
      <c r="N172" s="45"/>
      <c r="P172" s="5"/>
      <c r="Q172" s="72"/>
      <c r="T172" s="5"/>
    </row>
    <row r="173" spans="1:20" s="17" customFormat="1" ht="23.25" customHeight="1">
      <c r="A173" s="18">
        <f t="shared" si="13"/>
        <v>145</v>
      </c>
      <c r="B173" s="28" t="s">
        <v>423</v>
      </c>
      <c r="C173" s="29" t="s">
        <v>424</v>
      </c>
      <c r="D173" s="30" t="s">
        <v>34</v>
      </c>
      <c r="E173" s="39">
        <v>15</v>
      </c>
      <c r="F173" s="39">
        <v>15</v>
      </c>
      <c r="G173" s="33">
        <v>1485.5</v>
      </c>
      <c r="H173" s="33">
        <v>1739.87</v>
      </c>
      <c r="I173" s="34">
        <f t="shared" si="12"/>
        <v>26099</v>
      </c>
      <c r="J173" s="35"/>
      <c r="K173" s="36"/>
      <c r="M173" s="68"/>
      <c r="N173" s="45"/>
      <c r="P173" s="5"/>
      <c r="Q173" s="72"/>
      <c r="T173" s="5"/>
    </row>
    <row r="174" spans="1:20" s="17" customFormat="1" ht="23.25" customHeight="1">
      <c r="A174" s="18">
        <f t="shared" si="13"/>
        <v>146</v>
      </c>
      <c r="B174" s="28" t="s">
        <v>243</v>
      </c>
      <c r="C174" s="29" t="s">
        <v>244</v>
      </c>
      <c r="D174" s="30" t="s">
        <v>34</v>
      </c>
      <c r="E174" s="39">
        <v>3</v>
      </c>
      <c r="F174" s="39">
        <v>3</v>
      </c>
      <c r="G174" s="33">
        <v>99.5</v>
      </c>
      <c r="H174" s="33">
        <v>81.2</v>
      </c>
      <c r="I174" s="34">
        <f t="shared" si="12"/>
        <v>244</v>
      </c>
      <c r="J174" s="35"/>
      <c r="K174" s="36"/>
      <c r="M174" s="68"/>
      <c r="N174" s="45"/>
      <c r="P174" s="5"/>
      <c r="Q174" s="72"/>
      <c r="T174" s="5"/>
    </row>
    <row r="175" spans="1:20" s="17" customFormat="1" ht="23.25" customHeight="1">
      <c r="A175" s="18">
        <f t="shared" si="13"/>
        <v>147</v>
      </c>
      <c r="B175" s="28" t="s">
        <v>245</v>
      </c>
      <c r="C175" s="29" t="s">
        <v>246</v>
      </c>
      <c r="D175" s="30" t="s">
        <v>34</v>
      </c>
      <c r="E175" s="39">
        <v>31</v>
      </c>
      <c r="F175" s="39">
        <v>31</v>
      </c>
      <c r="G175" s="33">
        <v>655.2</v>
      </c>
      <c r="H175" s="33">
        <v>679.06</v>
      </c>
      <c r="I175" s="34">
        <f t="shared" si="12"/>
        <v>21051</v>
      </c>
      <c r="J175" s="35"/>
      <c r="K175" s="36"/>
      <c r="M175" s="68"/>
      <c r="N175" s="45"/>
      <c r="P175" s="5"/>
      <c r="Q175" s="72"/>
      <c r="T175" s="5"/>
    </row>
    <row r="176" spans="1:20" s="17" customFormat="1" ht="23.25" customHeight="1">
      <c r="A176" s="18">
        <f t="shared" si="13"/>
        <v>148</v>
      </c>
      <c r="B176" s="28" t="s">
        <v>247</v>
      </c>
      <c r="C176" s="29" t="s">
        <v>248</v>
      </c>
      <c r="D176" s="30" t="s">
        <v>12</v>
      </c>
      <c r="E176" s="39">
        <v>10</v>
      </c>
      <c r="F176" s="39">
        <v>10</v>
      </c>
      <c r="G176" s="33">
        <v>5382.91</v>
      </c>
      <c r="H176" s="33">
        <v>6027.71</v>
      </c>
      <c r="I176" s="34">
        <f t="shared" si="12"/>
        <v>60278</v>
      </c>
      <c r="J176" s="35"/>
      <c r="K176" s="36"/>
      <c r="M176" s="68"/>
      <c r="N176" s="45"/>
      <c r="P176" s="5"/>
      <c r="Q176" s="72"/>
      <c r="T176" s="5"/>
    </row>
    <row r="177" spans="1:20" s="17" customFormat="1" ht="23.25" customHeight="1">
      <c r="A177" s="18">
        <f t="shared" si="13"/>
        <v>149</v>
      </c>
      <c r="B177" s="28" t="s">
        <v>249</v>
      </c>
      <c r="C177" s="29" t="s">
        <v>250</v>
      </c>
      <c r="D177" s="30" t="s">
        <v>12</v>
      </c>
      <c r="E177" s="39">
        <v>29</v>
      </c>
      <c r="F177" s="39">
        <v>29</v>
      </c>
      <c r="G177" s="33">
        <v>6847.05</v>
      </c>
      <c r="H177" s="33">
        <v>7586.52</v>
      </c>
      <c r="I177" s="34">
        <f t="shared" si="12"/>
        <v>220010</v>
      </c>
      <c r="J177" s="35"/>
      <c r="K177" s="36"/>
      <c r="M177" s="68"/>
      <c r="N177" s="45"/>
      <c r="P177" s="67"/>
      <c r="Q177" s="72"/>
      <c r="T177" s="5"/>
    </row>
    <row r="178" spans="1:20" s="17" customFormat="1" ht="23.25" customHeight="1">
      <c r="A178" s="18">
        <f t="shared" si="13"/>
        <v>150</v>
      </c>
      <c r="B178" s="28" t="s">
        <v>523</v>
      </c>
      <c r="C178" s="29" t="s">
        <v>524</v>
      </c>
      <c r="D178" s="30" t="s">
        <v>12</v>
      </c>
      <c r="E178" s="39">
        <v>4</v>
      </c>
      <c r="F178" s="39">
        <v>1</v>
      </c>
      <c r="G178" s="33">
        <v>1723.34</v>
      </c>
      <c r="H178" s="33">
        <v>885.86</v>
      </c>
      <c r="I178" s="34">
        <f t="shared" si="12"/>
        <v>886</v>
      </c>
      <c r="J178" s="35"/>
      <c r="K178" s="36"/>
      <c r="M178" s="68"/>
      <c r="N178" s="45"/>
      <c r="P178" s="5"/>
      <c r="T178" s="5"/>
    </row>
    <row r="179" spans="1:20" s="17" customFormat="1" ht="23.25" customHeight="1">
      <c r="A179" s="18">
        <f t="shared" si="13"/>
        <v>151</v>
      </c>
      <c r="B179" s="28" t="s">
        <v>425</v>
      </c>
      <c r="C179" s="29" t="s">
        <v>426</v>
      </c>
      <c r="D179" s="30" t="s">
        <v>12</v>
      </c>
      <c r="E179" s="39">
        <v>4</v>
      </c>
      <c r="F179" s="39">
        <v>4</v>
      </c>
      <c r="G179" s="33">
        <v>1625.04</v>
      </c>
      <c r="H179" s="33">
        <v>2731.74</v>
      </c>
      <c r="I179" s="34">
        <f t="shared" si="12"/>
        <v>10927</v>
      </c>
      <c r="J179" s="35"/>
      <c r="K179" s="36"/>
      <c r="M179" s="68"/>
      <c r="N179" s="45"/>
      <c r="P179" s="5"/>
      <c r="T179" s="5"/>
    </row>
    <row r="180" spans="1:20" s="17" customFormat="1" ht="23.25" customHeight="1">
      <c r="A180" s="18">
        <f t="shared" si="13"/>
        <v>152</v>
      </c>
      <c r="B180" s="28" t="s">
        <v>427</v>
      </c>
      <c r="C180" s="29" t="s">
        <v>428</v>
      </c>
      <c r="D180" s="30" t="s">
        <v>12</v>
      </c>
      <c r="E180" s="39">
        <v>4</v>
      </c>
      <c r="F180" s="39">
        <v>4</v>
      </c>
      <c r="G180" s="33">
        <v>11133.9</v>
      </c>
      <c r="H180" s="33">
        <v>8516.6</v>
      </c>
      <c r="I180" s="34">
        <f t="shared" si="12"/>
        <v>34067</v>
      </c>
      <c r="J180" s="35"/>
      <c r="K180" s="36"/>
      <c r="M180" s="68"/>
      <c r="N180" s="45"/>
      <c r="O180" s="47"/>
      <c r="P180" s="5"/>
      <c r="Q180" s="5"/>
      <c r="R180" s="5"/>
      <c r="S180" s="5"/>
      <c r="T180" s="5"/>
    </row>
    <row r="181" spans="1:20" s="17" customFormat="1" ht="22.5" customHeight="1">
      <c r="A181" s="18">
        <f t="shared" si="13"/>
        <v>153</v>
      </c>
      <c r="B181" s="28" t="s">
        <v>261</v>
      </c>
      <c r="C181" s="29" t="s">
        <v>262</v>
      </c>
      <c r="D181" s="30" t="s">
        <v>12</v>
      </c>
      <c r="E181" s="39">
        <v>31</v>
      </c>
      <c r="F181" s="39">
        <v>31</v>
      </c>
      <c r="G181" s="33">
        <v>293.44</v>
      </c>
      <c r="H181" s="33">
        <v>274.19</v>
      </c>
      <c r="I181" s="34">
        <f t="shared" si="12"/>
        <v>8500</v>
      </c>
      <c r="J181" s="35"/>
      <c r="K181" s="36"/>
      <c r="M181" s="68"/>
      <c r="N181" s="45"/>
      <c r="Q181" s="5"/>
      <c r="R181" s="5"/>
      <c r="S181" s="5"/>
      <c r="T181" s="5"/>
    </row>
    <row r="182" spans="1:14" s="17" customFormat="1" ht="22.5" customHeight="1">
      <c r="A182" s="18">
        <f t="shared" si="13"/>
        <v>154</v>
      </c>
      <c r="B182" s="28" t="s">
        <v>263</v>
      </c>
      <c r="C182" s="29" t="s">
        <v>264</v>
      </c>
      <c r="D182" s="30" t="s">
        <v>34</v>
      </c>
      <c r="E182" s="39">
        <v>2</v>
      </c>
      <c r="F182" s="39">
        <v>2</v>
      </c>
      <c r="G182" s="33">
        <v>33016.91</v>
      </c>
      <c r="H182" s="33">
        <v>35707.16</v>
      </c>
      <c r="I182" s="34">
        <f t="shared" si="12"/>
        <v>71415</v>
      </c>
      <c r="J182" s="35"/>
      <c r="K182" s="36"/>
      <c r="M182" s="68"/>
      <c r="N182" s="45"/>
    </row>
    <row r="183" spans="1:14" s="17" customFormat="1" ht="22.5" customHeight="1">
      <c r="A183" s="18">
        <f t="shared" si="13"/>
        <v>155</v>
      </c>
      <c r="B183" s="28" t="s">
        <v>265</v>
      </c>
      <c r="C183" s="29" t="s">
        <v>266</v>
      </c>
      <c r="D183" s="30" t="s">
        <v>34</v>
      </c>
      <c r="E183" s="39">
        <v>1</v>
      </c>
      <c r="F183" s="39">
        <v>1</v>
      </c>
      <c r="G183" s="33">
        <v>33805.76</v>
      </c>
      <c r="H183" s="33">
        <v>35707.16</v>
      </c>
      <c r="I183" s="34">
        <f t="shared" si="12"/>
        <v>35708</v>
      </c>
      <c r="J183" s="35"/>
      <c r="K183" s="36"/>
      <c r="M183" s="68"/>
      <c r="N183" s="45"/>
    </row>
    <row r="184" spans="1:14" s="17" customFormat="1" ht="22.5" customHeight="1">
      <c r="A184" s="18">
        <f t="shared" si="13"/>
        <v>156</v>
      </c>
      <c r="B184" s="28" t="s">
        <v>267</v>
      </c>
      <c r="C184" s="29" t="s">
        <v>268</v>
      </c>
      <c r="D184" s="30" t="s">
        <v>34</v>
      </c>
      <c r="E184" s="39">
        <v>1</v>
      </c>
      <c r="F184" s="39">
        <v>1</v>
      </c>
      <c r="G184" s="33">
        <v>3558.33</v>
      </c>
      <c r="H184" s="33">
        <v>4086.83</v>
      </c>
      <c r="I184" s="34">
        <f t="shared" si="12"/>
        <v>4087</v>
      </c>
      <c r="J184" s="35"/>
      <c r="K184" s="36"/>
      <c r="M184" s="68"/>
      <c r="N184" s="45"/>
    </row>
    <row r="185" spans="1:14" s="17" customFormat="1" ht="22.5" customHeight="1">
      <c r="A185" s="18">
        <f t="shared" si="13"/>
        <v>157</v>
      </c>
      <c r="B185" s="28" t="s">
        <v>269</v>
      </c>
      <c r="C185" s="29" t="s">
        <v>270</v>
      </c>
      <c r="D185" s="30" t="s">
        <v>34</v>
      </c>
      <c r="E185" s="39">
        <v>2</v>
      </c>
      <c r="F185" s="39">
        <v>2</v>
      </c>
      <c r="G185" s="33">
        <v>570</v>
      </c>
      <c r="H185" s="33">
        <v>763.69</v>
      </c>
      <c r="I185" s="34">
        <f t="shared" si="12"/>
        <v>1528</v>
      </c>
      <c r="J185" s="35"/>
      <c r="K185" s="36"/>
      <c r="M185" s="68"/>
      <c r="N185" s="45"/>
    </row>
    <row r="186" spans="1:16" s="17" customFormat="1" ht="22.5" customHeight="1">
      <c r="A186" s="18">
        <f t="shared" si="13"/>
        <v>158</v>
      </c>
      <c r="B186" s="28" t="s">
        <v>525</v>
      </c>
      <c r="C186" s="29" t="s">
        <v>526</v>
      </c>
      <c r="D186" s="30" t="s">
        <v>12</v>
      </c>
      <c r="E186" s="39">
        <v>1</v>
      </c>
      <c r="F186" s="39">
        <v>1</v>
      </c>
      <c r="G186" s="33">
        <v>6788</v>
      </c>
      <c r="H186" s="33">
        <v>6788</v>
      </c>
      <c r="I186" s="34">
        <f t="shared" si="12"/>
        <v>6788</v>
      </c>
      <c r="J186" s="35"/>
      <c r="K186" s="36"/>
      <c r="M186" s="68"/>
      <c r="N186" s="45"/>
      <c r="O186" s="5"/>
      <c r="P186" s="5"/>
    </row>
    <row r="187" spans="1:20" s="17" customFormat="1" ht="22.5" customHeight="1">
      <c r="A187" s="18">
        <f t="shared" si="13"/>
        <v>159</v>
      </c>
      <c r="B187" s="28" t="s">
        <v>527</v>
      </c>
      <c r="C187" s="29" t="s">
        <v>528</v>
      </c>
      <c r="D187" s="30" t="s">
        <v>12</v>
      </c>
      <c r="E187" s="39">
        <v>1</v>
      </c>
      <c r="F187" s="39">
        <v>1</v>
      </c>
      <c r="G187" s="33">
        <v>6045.95</v>
      </c>
      <c r="H187" s="33">
        <v>9036.21</v>
      </c>
      <c r="I187" s="34">
        <f t="shared" si="12"/>
        <v>9037</v>
      </c>
      <c r="J187" s="35"/>
      <c r="K187" s="36"/>
      <c r="M187" s="68"/>
      <c r="N187" s="45"/>
      <c r="Q187" s="5"/>
      <c r="R187" s="5"/>
      <c r="S187" s="5"/>
      <c r="T187" s="5"/>
    </row>
    <row r="188" spans="1:14" s="17" customFormat="1" ht="22.5" customHeight="1">
      <c r="A188" s="18">
        <f t="shared" si="13"/>
        <v>160</v>
      </c>
      <c r="B188" s="28" t="s">
        <v>271</v>
      </c>
      <c r="C188" s="29" t="s">
        <v>272</v>
      </c>
      <c r="D188" s="30" t="s">
        <v>12</v>
      </c>
      <c r="E188" s="39">
        <v>3</v>
      </c>
      <c r="F188" s="39">
        <v>3</v>
      </c>
      <c r="G188" s="33">
        <v>1112</v>
      </c>
      <c r="H188" s="33">
        <v>1366.77</v>
      </c>
      <c r="I188" s="34">
        <f t="shared" si="12"/>
        <v>4101</v>
      </c>
      <c r="J188" s="35"/>
      <c r="K188" s="36"/>
      <c r="M188" s="68"/>
      <c r="N188" s="45"/>
    </row>
    <row r="189" spans="1:14" s="17" customFormat="1" ht="22.5" customHeight="1">
      <c r="A189" s="18">
        <f t="shared" si="13"/>
        <v>161</v>
      </c>
      <c r="B189" s="28" t="s">
        <v>535</v>
      </c>
      <c r="C189" s="29" t="s">
        <v>536</v>
      </c>
      <c r="D189" s="30" t="s">
        <v>12</v>
      </c>
      <c r="E189" s="39">
        <v>1</v>
      </c>
      <c r="F189" s="39">
        <v>1</v>
      </c>
      <c r="G189" s="33">
        <v>500</v>
      </c>
      <c r="H189" s="33">
        <v>1223.77</v>
      </c>
      <c r="I189" s="34">
        <f t="shared" si="12"/>
        <v>1224</v>
      </c>
      <c r="J189" s="35"/>
      <c r="K189" s="36"/>
      <c r="M189" s="68"/>
      <c r="N189" s="45"/>
    </row>
    <row r="190" spans="1:14" s="17" customFormat="1" ht="22.5" customHeight="1">
      <c r="A190" s="18">
        <f t="shared" si="13"/>
        <v>162</v>
      </c>
      <c r="B190" s="28" t="s">
        <v>529</v>
      </c>
      <c r="C190" s="29" t="s">
        <v>530</v>
      </c>
      <c r="D190" s="30" t="s">
        <v>12</v>
      </c>
      <c r="E190" s="39">
        <v>5</v>
      </c>
      <c r="F190" s="39">
        <v>5</v>
      </c>
      <c r="G190" s="33">
        <v>4076.5</v>
      </c>
      <c r="H190" s="33">
        <v>6062.98</v>
      </c>
      <c r="I190" s="34">
        <f t="shared" si="12"/>
        <v>30315</v>
      </c>
      <c r="J190" s="35"/>
      <c r="K190" s="36"/>
      <c r="M190" s="68"/>
      <c r="N190" s="45"/>
    </row>
    <row r="191" spans="1:14" s="17" customFormat="1" ht="22.5" customHeight="1">
      <c r="A191" s="18">
        <f t="shared" si="13"/>
        <v>163</v>
      </c>
      <c r="B191" s="28" t="s">
        <v>531</v>
      </c>
      <c r="C191" s="29" t="s">
        <v>532</v>
      </c>
      <c r="D191" s="30" t="s">
        <v>12</v>
      </c>
      <c r="E191" s="39">
        <v>1</v>
      </c>
      <c r="F191" s="39">
        <v>1</v>
      </c>
      <c r="G191" s="33">
        <v>1796.5</v>
      </c>
      <c r="H191" s="33">
        <v>1796.5</v>
      </c>
      <c r="I191" s="34">
        <f t="shared" si="12"/>
        <v>1797</v>
      </c>
      <c r="J191" s="109"/>
      <c r="K191" s="110"/>
      <c r="M191" s="68"/>
      <c r="N191" s="45"/>
    </row>
    <row r="192" spans="1:14" s="17" customFormat="1" ht="22.5" customHeight="1">
      <c r="A192" s="18">
        <f t="shared" si="13"/>
        <v>164</v>
      </c>
      <c r="B192" s="145" t="s">
        <v>275</v>
      </c>
      <c r="C192" s="146" t="s">
        <v>276</v>
      </c>
      <c r="D192" s="147" t="s">
        <v>12</v>
      </c>
      <c r="E192" s="148">
        <v>5</v>
      </c>
      <c r="F192" s="148">
        <v>5</v>
      </c>
      <c r="G192" s="149">
        <v>4192.5</v>
      </c>
      <c r="H192" s="149">
        <v>4466.41</v>
      </c>
      <c r="I192" s="150">
        <f t="shared" si="12"/>
        <v>22333</v>
      </c>
      <c r="J192" s="109"/>
      <c r="K192" s="110"/>
      <c r="M192" s="68"/>
      <c r="N192" s="45"/>
    </row>
    <row r="193" spans="1:14" s="17" customFormat="1" ht="22.5" customHeight="1">
      <c r="A193" s="18">
        <f t="shared" si="13"/>
        <v>165</v>
      </c>
      <c r="B193" s="145" t="s">
        <v>277</v>
      </c>
      <c r="C193" s="146" t="s">
        <v>278</v>
      </c>
      <c r="D193" s="147" t="s">
        <v>12</v>
      </c>
      <c r="E193" s="148">
        <v>4</v>
      </c>
      <c r="F193" s="148">
        <v>4</v>
      </c>
      <c r="G193" s="149">
        <v>7436.5</v>
      </c>
      <c r="H193" s="149">
        <v>7488.28</v>
      </c>
      <c r="I193" s="150">
        <f t="shared" si="12"/>
        <v>29954</v>
      </c>
      <c r="J193" s="109"/>
      <c r="K193" s="110"/>
      <c r="M193" s="68"/>
      <c r="N193" s="45"/>
    </row>
    <row r="194" spans="1:14" s="17" customFormat="1" ht="22.5" customHeight="1">
      <c r="A194" s="18">
        <f t="shared" si="13"/>
        <v>166</v>
      </c>
      <c r="B194" s="145" t="s">
        <v>432</v>
      </c>
      <c r="C194" s="146" t="s">
        <v>433</v>
      </c>
      <c r="D194" s="147" t="s">
        <v>12</v>
      </c>
      <c r="E194" s="148">
        <v>1</v>
      </c>
      <c r="F194" s="148">
        <v>1</v>
      </c>
      <c r="G194" s="149">
        <v>500</v>
      </c>
      <c r="H194" s="149">
        <v>500</v>
      </c>
      <c r="I194" s="150">
        <f t="shared" si="12"/>
        <v>500</v>
      </c>
      <c r="J194" s="109"/>
      <c r="K194" s="110"/>
      <c r="M194" s="68"/>
      <c r="N194" s="45"/>
    </row>
    <row r="195" spans="1:14" s="17" customFormat="1" ht="22.5" customHeight="1">
      <c r="A195" s="18">
        <f t="shared" si="13"/>
        <v>167</v>
      </c>
      <c r="B195" s="145" t="s">
        <v>279</v>
      </c>
      <c r="C195" s="146" t="s">
        <v>280</v>
      </c>
      <c r="D195" s="147" t="s">
        <v>12</v>
      </c>
      <c r="E195" s="148">
        <v>25</v>
      </c>
      <c r="F195" s="148">
        <v>28</v>
      </c>
      <c r="G195" s="149">
        <v>618.72</v>
      </c>
      <c r="H195" s="149">
        <v>633.02</v>
      </c>
      <c r="I195" s="150">
        <f t="shared" si="12"/>
        <v>17725</v>
      </c>
      <c r="J195" s="109"/>
      <c r="K195" s="110"/>
      <c r="M195" s="68"/>
      <c r="N195" s="45"/>
    </row>
    <row r="196" spans="1:14" s="17" customFormat="1" ht="22.5" customHeight="1">
      <c r="A196" s="18">
        <f t="shared" si="13"/>
        <v>168</v>
      </c>
      <c r="B196" s="145" t="s">
        <v>281</v>
      </c>
      <c r="C196" s="146" t="s">
        <v>282</v>
      </c>
      <c r="D196" s="147" t="s">
        <v>12</v>
      </c>
      <c r="E196" s="148">
        <v>13</v>
      </c>
      <c r="F196" s="148">
        <v>13</v>
      </c>
      <c r="G196" s="149">
        <v>3907</v>
      </c>
      <c r="H196" s="149">
        <v>4517.37</v>
      </c>
      <c r="I196" s="150">
        <f t="shared" si="12"/>
        <v>58726</v>
      </c>
      <c r="J196" s="109"/>
      <c r="K196" s="110"/>
      <c r="M196" s="68"/>
      <c r="N196" s="45"/>
    </row>
    <row r="197" spans="1:14" s="17" customFormat="1" ht="22.5" customHeight="1">
      <c r="A197" s="18">
        <f t="shared" si="13"/>
        <v>169</v>
      </c>
      <c r="B197" s="145" t="s">
        <v>434</v>
      </c>
      <c r="C197" s="146" t="s">
        <v>435</v>
      </c>
      <c r="D197" s="147" t="s">
        <v>12</v>
      </c>
      <c r="E197" s="148">
        <v>1</v>
      </c>
      <c r="F197" s="148">
        <v>1</v>
      </c>
      <c r="G197" s="149">
        <v>1106.18</v>
      </c>
      <c r="H197" s="149">
        <v>2678.18</v>
      </c>
      <c r="I197" s="150">
        <f t="shared" si="12"/>
        <v>2679</v>
      </c>
      <c r="J197" s="109"/>
      <c r="K197" s="110"/>
      <c r="M197" s="68"/>
      <c r="N197" s="45"/>
    </row>
    <row r="198" spans="1:14" s="17" customFormat="1" ht="22.5" customHeight="1" thickBot="1">
      <c r="A198" s="18">
        <f t="shared" si="13"/>
        <v>170</v>
      </c>
      <c r="B198" s="145" t="s">
        <v>533</v>
      </c>
      <c r="C198" s="146" t="s">
        <v>534</v>
      </c>
      <c r="D198" s="147" t="s">
        <v>12</v>
      </c>
      <c r="E198" s="148">
        <v>1</v>
      </c>
      <c r="F198" s="148">
        <v>1</v>
      </c>
      <c r="G198" s="149">
        <v>50737.69</v>
      </c>
      <c r="H198" s="149">
        <v>50737.69</v>
      </c>
      <c r="I198" s="150">
        <f t="shared" si="12"/>
        <v>50738</v>
      </c>
      <c r="J198" s="109"/>
      <c r="K198" s="110"/>
      <c r="M198" s="68"/>
      <c r="N198" s="45"/>
    </row>
    <row r="199" spans="1:16" ht="23.25" customHeight="1" thickBot="1" thickTop="1">
      <c r="A199" s="59"/>
      <c r="B199" s="60"/>
      <c r="C199" s="60"/>
      <c r="D199" s="60"/>
      <c r="E199" s="60"/>
      <c r="F199" s="101"/>
      <c r="G199" s="60"/>
      <c r="H199" s="62" t="s">
        <v>153</v>
      </c>
      <c r="I199" s="61">
        <f>SUM(I135:I198)</f>
        <v>2611062</v>
      </c>
      <c r="J199" s="15"/>
      <c r="K199" s="15"/>
      <c r="M199" s="16"/>
      <c r="N199" s="16"/>
      <c r="O199" s="17"/>
      <c r="P199" s="11"/>
    </row>
    <row r="200" spans="1:16" ht="23.25" customHeight="1" thickBot="1" thickTop="1">
      <c r="A200" s="342" t="s">
        <v>154</v>
      </c>
      <c r="B200" s="343"/>
      <c r="C200" s="343"/>
      <c r="D200" s="343"/>
      <c r="E200" s="343"/>
      <c r="F200" s="343"/>
      <c r="G200" s="343"/>
      <c r="H200" s="343"/>
      <c r="I200" s="344"/>
      <c r="J200" s="26"/>
      <c r="K200" s="27"/>
      <c r="M200" s="69"/>
      <c r="N200" s="45"/>
      <c r="P200" s="11"/>
    </row>
    <row r="201" spans="1:42" s="17" customFormat="1" ht="23.25" customHeight="1" thickTop="1">
      <c r="A201" s="18">
        <f>A198+1</f>
        <v>171</v>
      </c>
      <c r="B201" s="28" t="s">
        <v>156</v>
      </c>
      <c r="C201" s="29" t="s">
        <v>157</v>
      </c>
      <c r="D201" s="30" t="s">
        <v>11</v>
      </c>
      <c r="E201" s="39">
        <v>280</v>
      </c>
      <c r="F201" s="99">
        <v>285</v>
      </c>
      <c r="G201" s="64">
        <v>10.5</v>
      </c>
      <c r="H201" s="33">
        <v>10.88</v>
      </c>
      <c r="I201" s="25">
        <f aca="true" t="shared" si="14" ref="I201:I213">ROUNDUP(F201*H201,0)</f>
        <v>3101</v>
      </c>
      <c r="J201" s="35"/>
      <c r="K201" s="113" t="s">
        <v>436</v>
      </c>
      <c r="M201" s="68"/>
      <c r="N201" s="45"/>
      <c r="P201" s="16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16" s="17" customFormat="1" ht="23.25" customHeight="1">
      <c r="A202" s="18">
        <f aca="true" t="shared" si="15" ref="A202:A213">A201+1</f>
        <v>172</v>
      </c>
      <c r="B202" s="28" t="s">
        <v>158</v>
      </c>
      <c r="C202" s="29" t="s">
        <v>159</v>
      </c>
      <c r="D202" s="30" t="s">
        <v>11</v>
      </c>
      <c r="E202" s="39">
        <v>20285</v>
      </c>
      <c r="F202" s="100">
        <v>20600</v>
      </c>
      <c r="G202" s="64">
        <v>24.34</v>
      </c>
      <c r="H202" s="33">
        <v>25.73</v>
      </c>
      <c r="I202" s="34">
        <f t="shared" si="14"/>
        <v>530038</v>
      </c>
      <c r="J202" s="35"/>
      <c r="K202" s="36"/>
      <c r="M202" s="68"/>
      <c r="N202" s="45"/>
      <c r="P202" s="16"/>
    </row>
    <row r="203" spans="1:14" s="17" customFormat="1" ht="23.25" customHeight="1">
      <c r="A203" s="18">
        <f t="shared" si="15"/>
        <v>173</v>
      </c>
      <c r="B203" s="28" t="s">
        <v>160</v>
      </c>
      <c r="C203" s="37" t="s">
        <v>161</v>
      </c>
      <c r="D203" s="30" t="s">
        <v>12</v>
      </c>
      <c r="E203" s="39">
        <v>132</v>
      </c>
      <c r="F203" s="39">
        <v>132</v>
      </c>
      <c r="G203" s="64">
        <v>885.98</v>
      </c>
      <c r="H203" s="33">
        <v>963.33</v>
      </c>
      <c r="I203" s="34">
        <f t="shared" si="14"/>
        <v>127160</v>
      </c>
      <c r="J203" s="35"/>
      <c r="K203" s="36"/>
      <c r="M203" s="68"/>
      <c r="N203" s="45"/>
    </row>
    <row r="204" spans="1:17" s="17" customFormat="1" ht="23.25" customHeight="1">
      <c r="A204" s="18">
        <f t="shared" si="15"/>
        <v>174</v>
      </c>
      <c r="B204" s="28" t="s">
        <v>162</v>
      </c>
      <c r="C204" s="37" t="s">
        <v>163</v>
      </c>
      <c r="D204" s="30" t="s">
        <v>34</v>
      </c>
      <c r="E204" s="39">
        <v>2</v>
      </c>
      <c r="F204" s="39">
        <v>2</v>
      </c>
      <c r="G204" s="64">
        <v>3942.95</v>
      </c>
      <c r="H204" s="33">
        <v>3929.34</v>
      </c>
      <c r="I204" s="34">
        <f t="shared" si="14"/>
        <v>7859</v>
      </c>
      <c r="J204" s="35"/>
      <c r="K204" s="36"/>
      <c r="M204" s="68"/>
      <c r="N204" s="45"/>
      <c r="Q204" s="16"/>
    </row>
    <row r="205" spans="1:17" s="17" customFormat="1" ht="23.25" customHeight="1">
      <c r="A205" s="18">
        <f t="shared" si="15"/>
        <v>175</v>
      </c>
      <c r="B205" s="28" t="s">
        <v>219</v>
      </c>
      <c r="C205" s="37" t="s">
        <v>220</v>
      </c>
      <c r="D205" s="30" t="s">
        <v>11</v>
      </c>
      <c r="E205" s="39">
        <v>20</v>
      </c>
      <c r="F205" s="39">
        <v>120</v>
      </c>
      <c r="G205" s="64">
        <v>2.95</v>
      </c>
      <c r="H205" s="33">
        <v>2.96</v>
      </c>
      <c r="I205" s="34">
        <f t="shared" si="14"/>
        <v>356</v>
      </c>
      <c r="J205" s="35"/>
      <c r="K205" s="36"/>
      <c r="M205" s="68"/>
      <c r="N205" s="45"/>
      <c r="Q205" s="16"/>
    </row>
    <row r="206" spans="1:17" s="17" customFormat="1" ht="23.25" customHeight="1">
      <c r="A206" s="18">
        <f t="shared" si="15"/>
        <v>176</v>
      </c>
      <c r="B206" s="28" t="s">
        <v>221</v>
      </c>
      <c r="C206" s="37" t="s">
        <v>510</v>
      </c>
      <c r="D206" s="30" t="s">
        <v>12</v>
      </c>
      <c r="E206" s="39">
        <v>2</v>
      </c>
      <c r="F206" s="39">
        <v>2</v>
      </c>
      <c r="G206" s="64">
        <v>1589.55</v>
      </c>
      <c r="H206" s="33">
        <v>1693.23</v>
      </c>
      <c r="I206" s="34">
        <f t="shared" si="14"/>
        <v>3387</v>
      </c>
      <c r="J206" s="35"/>
      <c r="K206" s="36"/>
      <c r="M206" s="68"/>
      <c r="N206" s="45"/>
      <c r="O206" s="70"/>
      <c r="Q206" s="16"/>
    </row>
    <row r="207" spans="1:18" s="17" customFormat="1" ht="23.25" customHeight="1">
      <c r="A207" s="18">
        <f t="shared" si="15"/>
        <v>177</v>
      </c>
      <c r="B207" s="28" t="s">
        <v>164</v>
      </c>
      <c r="C207" s="37" t="s">
        <v>165</v>
      </c>
      <c r="D207" s="30" t="s">
        <v>11</v>
      </c>
      <c r="E207" s="39">
        <v>69795</v>
      </c>
      <c r="F207" s="39">
        <v>70861</v>
      </c>
      <c r="G207" s="64">
        <v>1.71</v>
      </c>
      <c r="H207" s="33">
        <f aca="true" t="shared" si="16" ref="H207:H213">G207*1.2</f>
        <v>2.052</v>
      </c>
      <c r="I207" s="34">
        <f>ROUNDUP(F207*H207,0)</f>
        <v>145407</v>
      </c>
      <c r="J207" s="35"/>
      <c r="K207" s="36"/>
      <c r="M207" s="68"/>
      <c r="N207" s="45"/>
      <c r="O207" s="70"/>
      <c r="Q207" s="63"/>
      <c r="R207" s="71"/>
    </row>
    <row r="208" spans="1:18" s="17" customFormat="1" ht="23.25" customHeight="1">
      <c r="A208" s="18">
        <f t="shared" si="15"/>
        <v>178</v>
      </c>
      <c r="B208" s="28" t="s">
        <v>355</v>
      </c>
      <c r="C208" s="37" t="s">
        <v>511</v>
      </c>
      <c r="D208" s="30" t="s">
        <v>12</v>
      </c>
      <c r="E208" s="39">
        <v>1</v>
      </c>
      <c r="F208" s="39">
        <v>1</v>
      </c>
      <c r="G208" s="64">
        <v>6442.45</v>
      </c>
      <c r="H208" s="33">
        <f t="shared" si="16"/>
        <v>7730.94</v>
      </c>
      <c r="I208" s="34">
        <f t="shared" si="14"/>
        <v>7731</v>
      </c>
      <c r="J208" s="35"/>
      <c r="K208" s="36"/>
      <c r="M208" s="68"/>
      <c r="N208" s="45"/>
      <c r="O208" s="70"/>
      <c r="Q208" s="63"/>
      <c r="R208" s="71"/>
    </row>
    <row r="209" spans="1:18" s="17" customFormat="1" ht="23.25" customHeight="1">
      <c r="A209" s="18">
        <f t="shared" si="15"/>
        <v>179</v>
      </c>
      <c r="B209" s="28" t="s">
        <v>166</v>
      </c>
      <c r="C209" s="37" t="s">
        <v>167</v>
      </c>
      <c r="D209" s="30" t="s">
        <v>12</v>
      </c>
      <c r="E209" s="39">
        <v>119</v>
      </c>
      <c r="F209" s="39">
        <v>114</v>
      </c>
      <c r="G209" s="64">
        <v>7500</v>
      </c>
      <c r="H209" s="33">
        <f t="shared" si="16"/>
        <v>9000</v>
      </c>
      <c r="I209" s="34">
        <f t="shared" si="14"/>
        <v>1026000</v>
      </c>
      <c r="J209" s="35"/>
      <c r="K209" s="36"/>
      <c r="M209" s="68"/>
      <c r="N209" s="45"/>
      <c r="Q209" s="63"/>
      <c r="R209" s="71"/>
    </row>
    <row r="210" spans="1:19" s="17" customFormat="1" ht="23.25" customHeight="1">
      <c r="A210" s="18">
        <f t="shared" si="15"/>
        <v>180</v>
      </c>
      <c r="B210" s="28" t="s">
        <v>509</v>
      </c>
      <c r="C210" s="37" t="s">
        <v>512</v>
      </c>
      <c r="D210" s="30" t="s">
        <v>12</v>
      </c>
      <c r="E210" s="39">
        <v>3</v>
      </c>
      <c r="F210" s="39">
        <v>8</v>
      </c>
      <c r="G210" s="64">
        <v>8000</v>
      </c>
      <c r="H210" s="33">
        <f t="shared" si="16"/>
        <v>9600</v>
      </c>
      <c r="I210" s="34">
        <f t="shared" si="14"/>
        <v>76800</v>
      </c>
      <c r="J210" s="35"/>
      <c r="K210" s="36"/>
      <c r="M210" s="68"/>
      <c r="N210" s="45"/>
      <c r="P210" s="5"/>
      <c r="Q210" s="63"/>
      <c r="R210" s="71"/>
      <c r="S210" s="5"/>
    </row>
    <row r="211" spans="1:20" s="17" customFormat="1" ht="23.25" customHeight="1">
      <c r="A211" s="18">
        <f t="shared" si="15"/>
        <v>181</v>
      </c>
      <c r="B211" s="28" t="s">
        <v>168</v>
      </c>
      <c r="C211" s="37" t="s">
        <v>169</v>
      </c>
      <c r="D211" s="30" t="s">
        <v>12</v>
      </c>
      <c r="E211" s="39">
        <v>2</v>
      </c>
      <c r="F211" s="39">
        <v>2</v>
      </c>
      <c r="G211" s="64">
        <v>15661.82</v>
      </c>
      <c r="H211" s="33">
        <f t="shared" si="16"/>
        <v>18794.183999999997</v>
      </c>
      <c r="I211" s="34">
        <f t="shared" si="14"/>
        <v>37589</v>
      </c>
      <c r="J211" s="35"/>
      <c r="K211" s="36"/>
      <c r="M211" s="68"/>
      <c r="N211" s="45"/>
      <c r="P211" s="5"/>
      <c r="T211" s="5"/>
    </row>
    <row r="212" spans="1:20" s="17" customFormat="1" ht="23.25" customHeight="1">
      <c r="A212" s="18">
        <f t="shared" si="15"/>
        <v>182</v>
      </c>
      <c r="B212" s="28" t="s">
        <v>170</v>
      </c>
      <c r="C212" s="29" t="s">
        <v>171</v>
      </c>
      <c r="D212" s="30" t="s">
        <v>12</v>
      </c>
      <c r="E212" s="39">
        <v>4</v>
      </c>
      <c r="F212" s="39">
        <v>4</v>
      </c>
      <c r="G212" s="64">
        <v>1133.32</v>
      </c>
      <c r="H212" s="33">
        <f t="shared" si="16"/>
        <v>1359.984</v>
      </c>
      <c r="I212" s="34">
        <f t="shared" si="14"/>
        <v>5440</v>
      </c>
      <c r="J212" s="35"/>
      <c r="K212" s="36"/>
      <c r="M212" s="68"/>
      <c r="N212" s="45"/>
      <c r="P212" s="67"/>
      <c r="Q212" s="72"/>
      <c r="T212" s="5"/>
    </row>
    <row r="213" spans="1:42" ht="23.25" customHeight="1" thickBot="1">
      <c r="A213" s="18">
        <f t="shared" si="15"/>
        <v>183</v>
      </c>
      <c r="B213" s="28" t="s">
        <v>172</v>
      </c>
      <c r="C213" s="29" t="s">
        <v>173</v>
      </c>
      <c r="D213" s="30" t="s">
        <v>12</v>
      </c>
      <c r="E213" s="39">
        <v>123</v>
      </c>
      <c r="F213" s="39">
        <v>123</v>
      </c>
      <c r="G213" s="64">
        <v>155</v>
      </c>
      <c r="H213" s="33">
        <f t="shared" si="16"/>
        <v>186</v>
      </c>
      <c r="I213" s="34">
        <f t="shared" si="14"/>
        <v>22878</v>
      </c>
      <c r="J213" s="15"/>
      <c r="K213" s="15"/>
      <c r="M213" s="41"/>
      <c r="N213" s="45"/>
      <c r="O213" s="17"/>
      <c r="P213" s="11"/>
      <c r="Q213" s="17"/>
      <c r="R213" s="17"/>
      <c r="S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16" ht="23.25" customHeight="1" thickBot="1" thickTop="1">
      <c r="A214" s="59"/>
      <c r="B214" s="60"/>
      <c r="C214" s="60"/>
      <c r="D214" s="60"/>
      <c r="E214" s="60"/>
      <c r="F214" s="101"/>
      <c r="G214" s="60"/>
      <c r="H214" s="62" t="s">
        <v>487</v>
      </c>
      <c r="I214" s="61">
        <f>SUM(I201:I213)</f>
        <v>1993746</v>
      </c>
      <c r="J214" s="15"/>
      <c r="K214" s="15"/>
      <c r="M214" s="16"/>
      <c r="O214" s="17"/>
      <c r="P214" s="11"/>
    </row>
    <row r="215" spans="1:42" s="17" customFormat="1" ht="22.5" customHeight="1" thickBot="1" thickTop="1">
      <c r="A215" s="354" t="s">
        <v>43</v>
      </c>
      <c r="B215" s="343"/>
      <c r="C215" s="343"/>
      <c r="D215" s="343"/>
      <c r="E215" s="343"/>
      <c r="F215" s="343"/>
      <c r="G215" s="343"/>
      <c r="H215" s="343"/>
      <c r="I215" s="355"/>
      <c r="J215" s="120"/>
      <c r="K215" s="36"/>
      <c r="M215" s="118" t="s">
        <v>283</v>
      </c>
      <c r="N215" s="72">
        <f>I92+I103+I133+I199+I214</f>
        <v>26420568</v>
      </c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23.25" customHeight="1" thickBot="1" thickTop="1">
      <c r="A216" s="18">
        <f>A213+1</f>
        <v>184</v>
      </c>
      <c r="B216" s="42"/>
      <c r="C216" s="37" t="s">
        <v>486</v>
      </c>
      <c r="D216" s="43" t="s">
        <v>9</v>
      </c>
      <c r="E216" s="43">
        <v>1</v>
      </c>
      <c r="F216" s="102">
        <v>1</v>
      </c>
      <c r="G216" s="43"/>
      <c r="H216" s="44">
        <f>_xlfn.CEILING.MATH(0.1*N215)</f>
        <v>2642057</v>
      </c>
      <c r="I216" s="34">
        <f>ROUNDUP(F216*H216,0)</f>
        <v>2642057</v>
      </c>
      <c r="J216" s="15"/>
      <c r="K216" s="121"/>
      <c r="M216" s="68"/>
      <c r="N216" s="45"/>
      <c r="O216" s="17"/>
      <c r="P216" s="11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9" ht="19.5" customHeight="1" thickBot="1" thickTop="1">
      <c r="A217" s="59"/>
      <c r="B217" s="60"/>
      <c r="C217" s="60"/>
      <c r="D217" s="60"/>
      <c r="E217" s="60"/>
      <c r="F217" s="101"/>
      <c r="G217" s="60"/>
      <c r="H217" s="62" t="s">
        <v>540</v>
      </c>
      <c r="I217" s="61">
        <f>N215+I216</f>
        <v>29062625</v>
      </c>
    </row>
    <row r="218" spans="1:9" ht="19.5" customHeight="1" thickTop="1">
      <c r="A218" s="2" t="s">
        <v>549</v>
      </c>
      <c r="I218" s="80"/>
    </row>
    <row r="219" spans="9:16" ht="23.25" customHeight="1" thickBot="1">
      <c r="I219" s="80"/>
      <c r="J219" s="15"/>
      <c r="K219" s="15"/>
      <c r="M219" s="16"/>
      <c r="N219" s="16"/>
      <c r="O219" s="17"/>
      <c r="P219" s="11"/>
    </row>
    <row r="220" spans="1:16" ht="23.25" customHeight="1" thickBot="1" thickTop="1">
      <c r="A220" s="342" t="s">
        <v>359</v>
      </c>
      <c r="B220" s="343"/>
      <c r="C220" s="343"/>
      <c r="D220" s="343"/>
      <c r="E220" s="343"/>
      <c r="F220" s="343"/>
      <c r="G220" s="343"/>
      <c r="H220" s="343"/>
      <c r="I220" s="344"/>
      <c r="J220" s="26"/>
      <c r="K220" s="27"/>
      <c r="M220" s="69"/>
      <c r="N220" s="45"/>
      <c r="P220" s="11"/>
    </row>
    <row r="221" spans="1:16" s="128" customFormat="1" ht="23.25" customHeight="1" thickTop="1">
      <c r="A221" s="359" t="s">
        <v>541</v>
      </c>
      <c r="B221" s="360"/>
      <c r="C221" s="360"/>
      <c r="D221" s="360"/>
      <c r="E221" s="360"/>
      <c r="F221" s="360"/>
      <c r="G221" s="360"/>
      <c r="H221" s="361"/>
      <c r="I221" s="135">
        <v>7023258</v>
      </c>
      <c r="J221" s="160"/>
      <c r="K221" s="174"/>
      <c r="M221" s="129"/>
      <c r="N221" s="162"/>
      <c r="P221" s="131"/>
    </row>
    <row r="222" spans="1:16" s="128" customFormat="1" ht="23.25" customHeight="1">
      <c r="A222" s="362" t="s">
        <v>542</v>
      </c>
      <c r="B222" s="363"/>
      <c r="C222" s="363"/>
      <c r="D222" s="363"/>
      <c r="E222" s="363"/>
      <c r="F222" s="363"/>
      <c r="G222" s="363"/>
      <c r="H222" s="364"/>
      <c r="I222" s="135">
        <v>820920</v>
      </c>
      <c r="J222" s="160"/>
      <c r="K222" s="174"/>
      <c r="M222" s="129"/>
      <c r="N222" s="162"/>
      <c r="P222" s="131"/>
    </row>
    <row r="223" spans="1:16" s="128" customFormat="1" ht="23.25" customHeight="1" thickBot="1">
      <c r="A223" s="365" t="s">
        <v>543</v>
      </c>
      <c r="B223" s="366"/>
      <c r="C223" s="366"/>
      <c r="D223" s="366"/>
      <c r="E223" s="366"/>
      <c r="F223" s="366"/>
      <c r="G223" s="366"/>
      <c r="H223" s="367"/>
      <c r="I223" s="135">
        <v>2797733</v>
      </c>
      <c r="J223" s="160"/>
      <c r="K223" s="160"/>
      <c r="M223" s="161"/>
      <c r="N223" s="130"/>
      <c r="O223" s="137"/>
      <c r="P223" s="131"/>
    </row>
    <row r="224" spans="1:9" ht="19.5" customHeight="1" thickBot="1" thickTop="1">
      <c r="A224" s="59"/>
      <c r="B224" s="60"/>
      <c r="C224" s="60"/>
      <c r="D224" s="60"/>
      <c r="E224" s="60"/>
      <c r="F224" s="101"/>
      <c r="G224" s="60"/>
      <c r="H224" s="62" t="s">
        <v>363</v>
      </c>
      <c r="I224" s="61">
        <f>SUM(I221:I223)</f>
        <v>10641911</v>
      </c>
    </row>
    <row r="225" spans="1:9" ht="19.5" customHeight="1" thickTop="1">
      <c r="A225" s="2" t="s">
        <v>488</v>
      </c>
      <c r="I225" s="80"/>
    </row>
    <row r="226" ht="19.5" customHeight="1" thickBot="1">
      <c r="I226" s="80"/>
    </row>
    <row r="227" spans="1:9" ht="19.5" customHeight="1" hidden="1" thickTop="1">
      <c r="A227" s="368" t="s">
        <v>145</v>
      </c>
      <c r="B227" s="369"/>
      <c r="C227" s="372" t="s">
        <v>146</v>
      </c>
      <c r="D227" s="373"/>
      <c r="E227" s="373"/>
      <c r="F227" s="373"/>
      <c r="G227" s="373"/>
      <c r="H227" s="374"/>
      <c r="I227" s="81">
        <v>6703000</v>
      </c>
    </row>
    <row r="228" spans="1:9" ht="19.5" customHeight="1" hidden="1">
      <c r="A228" s="370"/>
      <c r="B228" s="371"/>
      <c r="C228" s="375" t="s">
        <v>142</v>
      </c>
      <c r="D228" s="376"/>
      <c r="E228" s="376"/>
      <c r="F228" s="376"/>
      <c r="G228" s="376"/>
      <c r="H228" s="377"/>
      <c r="I228" s="82">
        <v>991400</v>
      </c>
    </row>
    <row r="229" spans="1:9" ht="19.5" customHeight="1" hidden="1" thickBot="1">
      <c r="A229" s="370"/>
      <c r="B229" s="371"/>
      <c r="C229" s="378" t="s">
        <v>143</v>
      </c>
      <c r="D229" s="379"/>
      <c r="E229" s="379"/>
      <c r="F229" s="379"/>
      <c r="G229" s="379"/>
      <c r="H229" s="380"/>
      <c r="I229" s="82">
        <v>0</v>
      </c>
    </row>
    <row r="230" spans="1:9" ht="19.5" thickBot="1" thickTop="1">
      <c r="A230" s="356" t="s">
        <v>144</v>
      </c>
      <c r="B230" s="357"/>
      <c r="C230" s="357"/>
      <c r="D230" s="357"/>
      <c r="E230" s="357"/>
      <c r="F230" s="357"/>
      <c r="G230" s="357"/>
      <c r="H230" s="358"/>
      <c r="I230" s="61">
        <f>+I217+I224</f>
        <v>39704536</v>
      </c>
    </row>
    <row r="231" ht="19.5" customHeight="1" thickTop="1">
      <c r="J231" s="49"/>
    </row>
    <row r="232" spans="1:9" ht="19.5" customHeight="1">
      <c r="A232" s="48" t="str">
        <f ca="1">CELL("FILENAME")</f>
        <v>S:\Bids, Proposals, Quotes\2024\24-TA005076JH IFBC Honore avenue at Old Farm Road Intersection Improvements\Solicitation Documents\Addendums\[24-TA005076JH  Addendum 1, Appendix L - Bid Pricing Form (Revised).xls]Appendix L</v>
      </c>
      <c r="B232" s="48"/>
      <c r="C232" s="49"/>
      <c r="D232" s="49"/>
      <c r="E232" s="49"/>
      <c r="F232" s="103"/>
      <c r="G232" s="50"/>
      <c r="H232" s="49"/>
      <c r="I232" s="51" t="s">
        <v>0</v>
      </c>
    </row>
    <row r="233" spans="3:13" ht="19.5" customHeight="1">
      <c r="C233" s="53"/>
      <c r="J233" s="55"/>
      <c r="L233" s="4"/>
      <c r="M233" s="4"/>
    </row>
    <row r="234" spans="6:10" ht="19.5" customHeight="1">
      <c r="F234" s="104"/>
      <c r="G234" s="2"/>
      <c r="I234" s="53"/>
      <c r="J234" s="55"/>
    </row>
    <row r="235" spans="1:10" ht="19.5" customHeight="1">
      <c r="A235" s="54"/>
      <c r="B235" s="54"/>
      <c r="C235" s="54"/>
      <c r="D235" s="54"/>
      <c r="E235" s="54"/>
      <c r="F235" s="105"/>
      <c r="G235" s="54"/>
      <c r="H235" s="54"/>
      <c r="I235" s="53"/>
      <c r="J235" s="55"/>
    </row>
    <row r="236" spans="1:9" ht="19.5" customHeight="1">
      <c r="A236" s="54"/>
      <c r="B236" s="54"/>
      <c r="C236" s="54"/>
      <c r="D236" s="54"/>
      <c r="E236" s="54"/>
      <c r="F236" s="105"/>
      <c r="G236" s="54"/>
      <c r="H236" s="54"/>
      <c r="I236" s="53"/>
    </row>
    <row r="237" spans="1:8" ht="19.5" customHeight="1">
      <c r="A237" s="53"/>
      <c r="B237" s="53"/>
      <c r="C237" s="53"/>
      <c r="D237" s="53"/>
      <c r="E237" s="53"/>
      <c r="F237" s="106"/>
      <c r="G237" s="53"/>
      <c r="H237" s="53"/>
    </row>
    <row r="238" spans="1:8" ht="19.5" customHeight="1">
      <c r="A238" s="53"/>
      <c r="B238" s="53"/>
      <c r="C238" s="53"/>
      <c r="D238" s="53"/>
      <c r="E238" s="53"/>
      <c r="F238" s="106"/>
      <c r="G238" s="53"/>
      <c r="H238" s="53"/>
    </row>
    <row r="239" spans="1:8" ht="19.5" customHeight="1">
      <c r="A239" s="53"/>
      <c r="B239" s="53"/>
      <c r="C239" s="53"/>
      <c r="D239" s="53"/>
      <c r="E239" s="53"/>
      <c r="F239" s="106"/>
      <c r="G239" s="53"/>
      <c r="H239" s="53"/>
    </row>
    <row r="240" spans="1:14" ht="19.5" customHeight="1">
      <c r="A240" s="53"/>
      <c r="B240" s="53"/>
      <c r="C240" s="53"/>
      <c r="D240" s="53"/>
      <c r="E240" s="53"/>
      <c r="F240" s="106"/>
      <c r="G240" s="53"/>
      <c r="H240" s="53"/>
      <c r="N240" s="56"/>
    </row>
    <row r="241" spans="1:14" ht="19.5" customHeight="1">
      <c r="A241" s="53"/>
      <c r="B241" s="53"/>
      <c r="C241" s="53"/>
      <c r="D241" s="53"/>
      <c r="E241" s="53"/>
      <c r="F241" s="106"/>
      <c r="G241" s="53"/>
      <c r="H241" s="53"/>
      <c r="N241" s="56"/>
    </row>
    <row r="242" spans="1:14" ht="19.5" customHeight="1">
      <c r="A242" s="53"/>
      <c r="B242" s="53"/>
      <c r="C242" s="53"/>
      <c r="D242" s="53"/>
      <c r="E242" s="53"/>
      <c r="F242" s="106"/>
      <c r="G242" s="53"/>
      <c r="H242" s="53"/>
      <c r="N242" s="56"/>
    </row>
    <row r="243" spans="1:14" ht="19.5" customHeight="1">
      <c r="A243" s="53"/>
      <c r="B243" s="53"/>
      <c r="C243" s="53"/>
      <c r="D243" s="53"/>
      <c r="E243" s="53"/>
      <c r="F243" s="106"/>
      <c r="G243" s="53"/>
      <c r="H243" s="53"/>
      <c r="N243" s="56"/>
    </row>
    <row r="244" spans="1:14" ht="19.5" customHeight="1">
      <c r="A244" s="57"/>
      <c r="B244" s="57"/>
      <c r="C244" s="57"/>
      <c r="D244" s="57"/>
      <c r="E244" s="57"/>
      <c r="F244" s="106"/>
      <c r="G244" s="57"/>
      <c r="H244" s="57"/>
      <c r="N244" s="56"/>
    </row>
    <row r="245" spans="1:14" ht="19.5" customHeight="1">
      <c r="A245" s="53"/>
      <c r="B245" s="53"/>
      <c r="C245" s="53"/>
      <c r="D245" s="53"/>
      <c r="E245" s="53"/>
      <c r="F245" s="106"/>
      <c r="G245" s="53"/>
      <c r="H245" s="53"/>
      <c r="N245" s="56"/>
    </row>
    <row r="246" spans="1:14" ht="19.5" customHeight="1">
      <c r="A246" s="53"/>
      <c r="B246" s="53"/>
      <c r="C246" s="53"/>
      <c r="D246" s="53"/>
      <c r="E246" s="53"/>
      <c r="F246" s="106"/>
      <c r="G246" s="53"/>
      <c r="H246" s="53"/>
      <c r="N246" s="56"/>
    </row>
    <row r="247" spans="1:14" ht="19.5" customHeight="1">
      <c r="A247" s="53"/>
      <c r="B247" s="53"/>
      <c r="C247" s="53"/>
      <c r="D247" s="53"/>
      <c r="E247" s="53"/>
      <c r="F247" s="106"/>
      <c r="G247" s="53"/>
      <c r="H247" s="53"/>
      <c r="N247" s="56"/>
    </row>
    <row r="248" spans="1:14" ht="19.5" customHeight="1">
      <c r="A248" s="53"/>
      <c r="B248" s="53"/>
      <c r="H248" s="58"/>
      <c r="N248" s="56"/>
    </row>
    <row r="249" spans="1:14" ht="19.5" customHeight="1">
      <c r="A249" s="53"/>
      <c r="B249" s="53"/>
      <c r="H249" s="58"/>
      <c r="N249" s="56"/>
    </row>
    <row r="250" spans="1:14" ht="19.5" customHeight="1">
      <c r="A250" s="53"/>
      <c r="B250" s="53"/>
      <c r="H250" s="58"/>
      <c r="N250" s="56"/>
    </row>
    <row r="251" spans="1:14" ht="19.5" customHeight="1">
      <c r="A251" s="53"/>
      <c r="B251" s="53"/>
      <c r="H251" s="58"/>
      <c r="N251" s="56"/>
    </row>
    <row r="252" spans="1:14" ht="15">
      <c r="A252" s="53"/>
      <c r="B252" s="53"/>
      <c r="H252" s="58"/>
      <c r="N252" s="56"/>
    </row>
    <row r="253" spans="1:14" ht="15">
      <c r="A253" s="53"/>
      <c r="B253" s="53"/>
      <c r="H253" s="58"/>
      <c r="N253" s="56"/>
    </row>
    <row r="254" spans="1:14" ht="15">
      <c r="A254" s="53"/>
      <c r="B254" s="53"/>
      <c r="H254" s="58"/>
      <c r="N254" s="56"/>
    </row>
    <row r="255" spans="1:14" ht="15">
      <c r="A255" s="53"/>
      <c r="B255" s="53"/>
      <c r="H255" s="58"/>
      <c r="N255" s="56"/>
    </row>
    <row r="256" spans="1:14" ht="15">
      <c r="A256" s="53"/>
      <c r="B256" s="53"/>
      <c r="H256" s="58"/>
      <c r="N256" s="56"/>
    </row>
    <row r="257" spans="1:14" ht="15">
      <c r="A257" s="53"/>
      <c r="B257" s="53"/>
      <c r="H257" s="58"/>
      <c r="N257" s="56"/>
    </row>
    <row r="258" spans="1:14" ht="15">
      <c r="A258" s="53"/>
      <c r="B258" s="53"/>
      <c r="N258" s="56"/>
    </row>
    <row r="259" spans="1:14" ht="15">
      <c r="A259" s="53"/>
      <c r="B259" s="53"/>
      <c r="N259" s="56"/>
    </row>
    <row r="260" spans="1:14" ht="15">
      <c r="A260" s="53"/>
      <c r="B260" s="53"/>
      <c r="N260" s="56"/>
    </row>
    <row r="261" spans="1:14" ht="15">
      <c r="A261" s="53"/>
      <c r="B261" s="53"/>
      <c r="N261" s="56"/>
    </row>
    <row r="262" spans="1:14" ht="15">
      <c r="A262" s="53"/>
      <c r="B262" s="53"/>
      <c r="N262" s="56"/>
    </row>
    <row r="263" spans="1:14" ht="15">
      <c r="A263" s="53"/>
      <c r="B263" s="53"/>
      <c r="N263" s="56"/>
    </row>
    <row r="264" spans="1:14" ht="15">
      <c r="A264" s="53"/>
      <c r="B264" s="53"/>
      <c r="N264" s="56"/>
    </row>
    <row r="265" spans="1:14" ht="15">
      <c r="A265" s="53"/>
      <c r="B265" s="53"/>
      <c r="N265" s="56"/>
    </row>
    <row r="266" spans="1:14" ht="15">
      <c r="A266" s="53"/>
      <c r="B266" s="53"/>
      <c r="N266" s="56"/>
    </row>
    <row r="267" spans="1:14" ht="15">
      <c r="A267" s="53"/>
      <c r="B267" s="53"/>
      <c r="N267" s="56"/>
    </row>
    <row r="268" spans="1:14" ht="15">
      <c r="A268" s="53"/>
      <c r="B268" s="53"/>
      <c r="N268" s="56"/>
    </row>
    <row r="269" spans="1:14" ht="15">
      <c r="A269" s="53"/>
      <c r="B269" s="53"/>
      <c r="N269" s="56"/>
    </row>
    <row r="270" spans="1:14" ht="15">
      <c r="A270" s="53"/>
      <c r="B270" s="53"/>
      <c r="N270" s="56"/>
    </row>
    <row r="271" spans="1:14" ht="15">
      <c r="A271" s="53"/>
      <c r="B271" s="53"/>
      <c r="N271" s="56"/>
    </row>
    <row r="272" spans="1:14" ht="15">
      <c r="A272" s="53"/>
      <c r="B272" s="53"/>
      <c r="N272" s="56"/>
    </row>
    <row r="273" spans="1:14" ht="15">
      <c r="A273" s="53"/>
      <c r="B273" s="53"/>
      <c r="N273" s="56"/>
    </row>
    <row r="274" spans="1:14" ht="15">
      <c r="A274" s="53"/>
      <c r="B274" s="53"/>
      <c r="N274" s="56"/>
    </row>
    <row r="275" spans="1:14" ht="15">
      <c r="A275" s="53"/>
      <c r="B275" s="53"/>
      <c r="N275" s="56"/>
    </row>
    <row r="276" spans="1:14" ht="15">
      <c r="A276" s="53"/>
      <c r="B276" s="53"/>
      <c r="N276" s="56"/>
    </row>
    <row r="277" spans="1:14" ht="15">
      <c r="A277" s="53"/>
      <c r="B277" s="53"/>
      <c r="N277" s="56"/>
    </row>
    <row r="278" spans="1:14" ht="15">
      <c r="A278" s="53"/>
      <c r="B278" s="53"/>
      <c r="N278" s="56"/>
    </row>
    <row r="279" spans="1:14" ht="15">
      <c r="A279" s="53"/>
      <c r="B279" s="53"/>
      <c r="N279" s="56"/>
    </row>
    <row r="280" spans="1:14" ht="15">
      <c r="A280" s="53"/>
      <c r="B280" s="53"/>
      <c r="N280" s="56"/>
    </row>
    <row r="281" spans="1:14" ht="15">
      <c r="A281" s="53"/>
      <c r="B281" s="53"/>
      <c r="N281" s="56"/>
    </row>
    <row r="282" spans="1:14" ht="15">
      <c r="A282" s="53"/>
      <c r="B282" s="53"/>
      <c r="N282" s="56"/>
    </row>
    <row r="283" spans="1:14" ht="15">
      <c r="A283" s="53"/>
      <c r="B283" s="53"/>
      <c r="N283" s="56"/>
    </row>
    <row r="284" spans="1:14" ht="15">
      <c r="A284" s="53"/>
      <c r="B284" s="53"/>
      <c r="N284" s="56"/>
    </row>
    <row r="285" spans="1:14" ht="15">
      <c r="A285" s="53"/>
      <c r="B285" s="53"/>
      <c r="N285" s="56"/>
    </row>
    <row r="286" spans="1:14" ht="15">
      <c r="A286" s="57"/>
      <c r="B286" s="57"/>
      <c r="N286" s="56"/>
    </row>
    <row r="287" spans="1:14" ht="15">
      <c r="A287" s="53"/>
      <c r="B287" s="53"/>
      <c r="N287" s="56"/>
    </row>
    <row r="288" spans="1:14" ht="15">
      <c r="A288" s="53"/>
      <c r="B288" s="53"/>
      <c r="N288" s="56"/>
    </row>
    <row r="289" spans="1:14" ht="15">
      <c r="A289" s="53"/>
      <c r="B289" s="53"/>
      <c r="N289" s="56"/>
    </row>
    <row r="290" spans="1:14" ht="15">
      <c r="A290" s="53"/>
      <c r="B290" s="53"/>
      <c r="N290" s="56"/>
    </row>
    <row r="291" spans="1:14" ht="15">
      <c r="A291" s="53"/>
      <c r="B291" s="53"/>
      <c r="N291" s="56"/>
    </row>
    <row r="292" spans="1:14" ht="15">
      <c r="A292" s="53"/>
      <c r="B292" s="53"/>
      <c r="N292" s="56"/>
    </row>
    <row r="293" spans="1:14" ht="15">
      <c r="A293" s="53"/>
      <c r="B293" s="53"/>
      <c r="N293" s="56"/>
    </row>
    <row r="294" spans="1:14" ht="15">
      <c r="A294" s="53"/>
      <c r="B294" s="53"/>
      <c r="N294" s="56"/>
    </row>
    <row r="295" spans="1:14" ht="15">
      <c r="A295" s="53"/>
      <c r="B295" s="53"/>
      <c r="N295" s="56"/>
    </row>
    <row r="296" spans="1:14" ht="15">
      <c r="A296" s="53"/>
      <c r="B296" s="53"/>
      <c r="N296" s="56"/>
    </row>
    <row r="297" spans="1:14" ht="15">
      <c r="A297" s="53"/>
      <c r="B297" s="53"/>
      <c r="N297" s="56"/>
    </row>
    <row r="298" spans="1:14" ht="15">
      <c r="A298" s="53"/>
      <c r="B298" s="53"/>
      <c r="N298" s="56"/>
    </row>
    <row r="299" spans="1:14" ht="15">
      <c r="A299" s="53"/>
      <c r="B299" s="53"/>
      <c r="N299" s="56"/>
    </row>
    <row r="300" spans="1:14" ht="15">
      <c r="A300" s="53"/>
      <c r="B300" s="53"/>
      <c r="N300" s="56"/>
    </row>
    <row r="301" spans="1:14" ht="15">
      <c r="A301" s="53"/>
      <c r="B301" s="53"/>
      <c r="N301" s="56"/>
    </row>
    <row r="302" spans="1:14" ht="15">
      <c r="A302" s="53"/>
      <c r="B302" s="53"/>
      <c r="N302" s="56"/>
    </row>
    <row r="303" spans="1:14" ht="15">
      <c r="A303" s="53"/>
      <c r="B303" s="53"/>
      <c r="N303" s="56"/>
    </row>
    <row r="304" spans="1:14" ht="15">
      <c r="A304" s="53"/>
      <c r="B304" s="53"/>
      <c r="N304" s="56"/>
    </row>
    <row r="305" spans="1:14" ht="15">
      <c r="A305" s="53"/>
      <c r="B305" s="53"/>
      <c r="N305" s="56"/>
    </row>
    <row r="306" spans="1:14" ht="15">
      <c r="A306" s="53"/>
      <c r="B306" s="53"/>
      <c r="N306" s="56"/>
    </row>
    <row r="307" spans="1:14" ht="15">
      <c r="A307" s="53"/>
      <c r="B307" s="53"/>
      <c r="N307" s="56"/>
    </row>
    <row r="308" spans="1:14" ht="15">
      <c r="A308" s="53"/>
      <c r="B308" s="53"/>
      <c r="N308" s="56"/>
    </row>
    <row r="309" spans="1:14" ht="15">
      <c r="A309" s="53"/>
      <c r="B309" s="53"/>
      <c r="N309" s="56"/>
    </row>
    <row r="310" spans="1:14" ht="15">
      <c r="A310" s="53"/>
      <c r="B310" s="53"/>
      <c r="N310" s="56"/>
    </row>
    <row r="311" spans="1:14" ht="15">
      <c r="A311" s="53"/>
      <c r="B311" s="53"/>
      <c r="N311" s="56"/>
    </row>
    <row r="312" spans="1:14" ht="15">
      <c r="A312" s="53"/>
      <c r="B312" s="53"/>
      <c r="N312" s="56"/>
    </row>
    <row r="313" spans="1:14" ht="15">
      <c r="A313" s="53"/>
      <c r="B313" s="53"/>
      <c r="N313" s="56"/>
    </row>
    <row r="314" spans="1:14" ht="15">
      <c r="A314" s="53"/>
      <c r="B314" s="53"/>
      <c r="N314" s="56"/>
    </row>
    <row r="315" spans="1:14" ht="15">
      <c r="A315" s="53"/>
      <c r="B315" s="53"/>
      <c r="N315" s="56"/>
    </row>
    <row r="316" spans="1:14" ht="15">
      <c r="A316" s="53"/>
      <c r="B316" s="53"/>
      <c r="N316" s="56"/>
    </row>
    <row r="317" spans="1:14" ht="15">
      <c r="A317" s="53"/>
      <c r="B317" s="53"/>
      <c r="N317" s="56"/>
    </row>
    <row r="318" spans="1:14" ht="15">
      <c r="A318" s="53"/>
      <c r="B318" s="53"/>
      <c r="N318" s="56"/>
    </row>
    <row r="319" spans="1:14" ht="15">
      <c r="A319" s="53"/>
      <c r="B319" s="53"/>
      <c r="N319" s="56"/>
    </row>
    <row r="320" spans="1:14" ht="15">
      <c r="A320" s="53"/>
      <c r="B320" s="53"/>
      <c r="N320" s="56"/>
    </row>
    <row r="321" spans="1:14" ht="15">
      <c r="A321" s="53"/>
      <c r="B321" s="53"/>
      <c r="N321" s="56"/>
    </row>
    <row r="322" spans="1:14" ht="15">
      <c r="A322" s="53"/>
      <c r="B322" s="53"/>
      <c r="N322" s="56"/>
    </row>
    <row r="323" spans="1:14" ht="15">
      <c r="A323" s="53"/>
      <c r="B323" s="53"/>
      <c r="N323" s="56"/>
    </row>
    <row r="324" spans="1:14" ht="15">
      <c r="A324" s="53"/>
      <c r="B324" s="53"/>
      <c r="N324" s="56"/>
    </row>
    <row r="325" spans="1:14" ht="15">
      <c r="A325" s="53"/>
      <c r="B325" s="53"/>
      <c r="N325" s="56"/>
    </row>
    <row r="326" spans="1:14" ht="15">
      <c r="A326" s="53"/>
      <c r="B326" s="53"/>
      <c r="N326" s="56"/>
    </row>
    <row r="327" spans="1:14" ht="15">
      <c r="A327" s="57"/>
      <c r="B327" s="57"/>
      <c r="N327" s="56"/>
    </row>
    <row r="328" spans="1:14" ht="15">
      <c r="A328" s="53"/>
      <c r="B328" s="53"/>
      <c r="N328" s="56"/>
    </row>
    <row r="329" spans="1:14" ht="15">
      <c r="A329" s="53"/>
      <c r="B329" s="53"/>
      <c r="N329" s="56"/>
    </row>
    <row r="330" spans="1:14" ht="15">
      <c r="A330" s="53"/>
      <c r="B330" s="53"/>
      <c r="N330" s="56"/>
    </row>
    <row r="331" spans="1:14" ht="15">
      <c r="A331" s="53"/>
      <c r="B331" s="53"/>
      <c r="N331" s="56"/>
    </row>
    <row r="332" spans="1:14" ht="15">
      <c r="A332" s="53"/>
      <c r="B332" s="53"/>
      <c r="N332" s="56"/>
    </row>
    <row r="333" spans="1:14" ht="15">
      <c r="A333" s="53"/>
      <c r="B333" s="53"/>
      <c r="N333" s="56"/>
    </row>
    <row r="334" spans="1:14" ht="15">
      <c r="A334" s="53"/>
      <c r="B334" s="53"/>
      <c r="N334" s="56"/>
    </row>
    <row r="335" spans="1:14" ht="15">
      <c r="A335" s="53"/>
      <c r="B335" s="53"/>
      <c r="N335" s="56"/>
    </row>
    <row r="336" spans="1:14" ht="15">
      <c r="A336" s="53"/>
      <c r="B336" s="53"/>
      <c r="N336" s="56"/>
    </row>
    <row r="337" spans="1:14" ht="19.5" customHeight="1">
      <c r="A337" s="53"/>
      <c r="B337" s="53"/>
      <c r="N337" s="56"/>
    </row>
    <row r="338" spans="1:14" ht="19.5" customHeight="1">
      <c r="A338" s="53"/>
      <c r="B338" s="53"/>
      <c r="N338" s="56"/>
    </row>
    <row r="339" spans="1:14" ht="19.5" customHeight="1">
      <c r="A339" s="53"/>
      <c r="B339" s="53"/>
      <c r="N339" s="56"/>
    </row>
    <row r="340" spans="1:14" ht="19.5" customHeight="1">
      <c r="A340" s="53"/>
      <c r="B340" s="53"/>
      <c r="N340" s="56"/>
    </row>
    <row r="341" spans="1:14" ht="19.5" customHeight="1">
      <c r="A341" s="53"/>
      <c r="B341" s="53"/>
      <c r="N341" s="56"/>
    </row>
    <row r="342" spans="1:14" ht="19.5" customHeight="1">
      <c r="A342" s="53"/>
      <c r="B342" s="53"/>
      <c r="N342" s="56"/>
    </row>
    <row r="343" spans="1:14" ht="19.5" customHeight="1">
      <c r="A343" s="53"/>
      <c r="B343" s="53"/>
      <c r="N343" s="56"/>
    </row>
    <row r="344" spans="1:14" ht="19.5" customHeight="1">
      <c r="A344" s="53"/>
      <c r="B344" s="53"/>
      <c r="N344" s="56"/>
    </row>
    <row r="345" spans="1:14" ht="19.5" customHeight="1">
      <c r="A345" s="53"/>
      <c r="B345" s="53"/>
      <c r="N345" s="56"/>
    </row>
    <row r="346" spans="1:14" ht="19.5" customHeight="1">
      <c r="A346" s="53"/>
      <c r="B346" s="53"/>
      <c r="N346" s="56"/>
    </row>
    <row r="347" spans="1:14" ht="19.5" customHeight="1">
      <c r="A347" s="53"/>
      <c r="B347" s="53"/>
      <c r="N347" s="56"/>
    </row>
    <row r="348" spans="1:14" ht="15">
      <c r="A348" s="53"/>
      <c r="B348" s="53"/>
      <c r="N348" s="56"/>
    </row>
    <row r="349" spans="1:14" ht="15">
      <c r="A349" s="53"/>
      <c r="B349" s="53"/>
      <c r="N349" s="56"/>
    </row>
    <row r="350" spans="1:14" ht="15">
      <c r="A350" s="53"/>
      <c r="B350" s="53"/>
      <c r="N350" s="56"/>
    </row>
    <row r="351" spans="1:14" ht="15">
      <c r="A351" s="53"/>
      <c r="B351" s="53"/>
      <c r="N351" s="56"/>
    </row>
    <row r="352" spans="1:14" ht="15">
      <c r="A352" s="53"/>
      <c r="B352" s="53"/>
      <c r="N352" s="56"/>
    </row>
    <row r="353" spans="1:14" ht="15">
      <c r="A353" s="53"/>
      <c r="B353" s="53"/>
      <c r="N353" s="56"/>
    </row>
    <row r="354" spans="1:14" ht="15">
      <c r="A354" s="53"/>
      <c r="B354" s="53"/>
      <c r="N354" s="56"/>
    </row>
    <row r="355" spans="1:14" ht="15">
      <c r="A355" s="53"/>
      <c r="B355" s="53"/>
      <c r="N355" s="56"/>
    </row>
    <row r="356" spans="1:14" ht="15">
      <c r="A356" s="53"/>
      <c r="B356" s="53"/>
      <c r="N356" s="56"/>
    </row>
    <row r="357" ht="15">
      <c r="N357" s="56"/>
    </row>
    <row r="358" ht="15">
      <c r="N358" s="56"/>
    </row>
    <row r="359" ht="15">
      <c r="N359" s="56"/>
    </row>
    <row r="360" ht="15">
      <c r="N360" s="56"/>
    </row>
    <row r="361" ht="15">
      <c r="N361" s="56"/>
    </row>
    <row r="362" ht="15">
      <c r="N362" s="56"/>
    </row>
    <row r="363" ht="15">
      <c r="N363" s="56"/>
    </row>
    <row r="364" ht="15">
      <c r="N364" s="56"/>
    </row>
    <row r="365" ht="15">
      <c r="N365" s="56"/>
    </row>
    <row r="366" ht="15">
      <c r="N366" s="56"/>
    </row>
    <row r="367" ht="15">
      <c r="N367" s="56"/>
    </row>
    <row r="368" ht="15">
      <c r="N368" s="56"/>
    </row>
    <row r="369" ht="15">
      <c r="N369" s="56"/>
    </row>
    <row r="370" ht="15">
      <c r="N370" s="56"/>
    </row>
    <row r="371" ht="15">
      <c r="N371" s="56"/>
    </row>
    <row r="372" ht="15">
      <c r="N372" s="56"/>
    </row>
    <row r="373" ht="15">
      <c r="N373" s="56"/>
    </row>
    <row r="374" ht="15">
      <c r="N374" s="56"/>
    </row>
    <row r="375" ht="15">
      <c r="N375" s="56"/>
    </row>
    <row r="376" ht="15">
      <c r="N376" s="56"/>
    </row>
    <row r="377" ht="15">
      <c r="N377" s="56"/>
    </row>
    <row r="378" ht="15">
      <c r="N378" s="56"/>
    </row>
    <row r="379" ht="15">
      <c r="N379" s="56"/>
    </row>
    <row r="380" ht="15">
      <c r="N380" s="56"/>
    </row>
    <row r="381" ht="15">
      <c r="N381" s="56"/>
    </row>
    <row r="382" ht="15">
      <c r="N382" s="56"/>
    </row>
    <row r="383" ht="15">
      <c r="N383" s="56"/>
    </row>
    <row r="384" ht="15">
      <c r="N384" s="56"/>
    </row>
    <row r="385" ht="15">
      <c r="N385" s="56"/>
    </row>
    <row r="386" ht="15">
      <c r="N386" s="56"/>
    </row>
    <row r="387" ht="15">
      <c r="N387" s="56"/>
    </row>
    <row r="388" spans="14:24" ht="15">
      <c r="N388" s="56"/>
      <c r="X388" s="5" t="s">
        <v>0</v>
      </c>
    </row>
    <row r="389" ht="15">
      <c r="N389" s="56"/>
    </row>
    <row r="390" ht="15">
      <c r="N390" s="56"/>
    </row>
    <row r="391" ht="15">
      <c r="N391" s="56"/>
    </row>
    <row r="392" ht="15">
      <c r="N392" s="56"/>
    </row>
    <row r="393" ht="15">
      <c r="N393" s="56"/>
    </row>
    <row r="394" ht="15">
      <c r="N394" s="56"/>
    </row>
    <row r="395" ht="15">
      <c r="N395" s="56"/>
    </row>
    <row r="396" ht="15">
      <c r="N396" s="56"/>
    </row>
    <row r="397" ht="15">
      <c r="N397" s="56"/>
    </row>
    <row r="398" ht="15">
      <c r="N398" s="56"/>
    </row>
    <row r="399" ht="15">
      <c r="N399" s="56"/>
    </row>
    <row r="400" ht="15">
      <c r="N400" s="56"/>
    </row>
    <row r="401" ht="15">
      <c r="N401" s="56"/>
    </row>
    <row r="402" ht="15">
      <c r="N402" s="56"/>
    </row>
    <row r="403" ht="15">
      <c r="N403" s="56"/>
    </row>
    <row r="404" ht="15">
      <c r="N404" s="56"/>
    </row>
    <row r="405" ht="15">
      <c r="N405" s="56"/>
    </row>
    <row r="406" ht="15">
      <c r="N406" s="56"/>
    </row>
    <row r="407" ht="15">
      <c r="N407" s="56"/>
    </row>
    <row r="408" ht="15">
      <c r="N408" s="56"/>
    </row>
    <row r="409" ht="15">
      <c r="N409" s="56"/>
    </row>
    <row r="410" ht="15">
      <c r="N410" s="56"/>
    </row>
    <row r="411" ht="15">
      <c r="N411" s="56"/>
    </row>
    <row r="412" ht="15">
      <c r="N412" s="56"/>
    </row>
    <row r="413" ht="15">
      <c r="N413" s="56"/>
    </row>
    <row r="414" ht="15">
      <c r="N414" s="56"/>
    </row>
    <row r="415" ht="15">
      <c r="N415" s="56"/>
    </row>
    <row r="416" ht="15">
      <c r="N416" s="56"/>
    </row>
    <row r="417" ht="15">
      <c r="N417" s="56"/>
    </row>
    <row r="418" ht="15">
      <c r="N418" s="56"/>
    </row>
    <row r="419" ht="15">
      <c r="N419" s="56"/>
    </row>
    <row r="420" ht="15">
      <c r="N420" s="56"/>
    </row>
    <row r="421" ht="15">
      <c r="N421" s="56"/>
    </row>
    <row r="422" ht="15">
      <c r="N422" s="56"/>
    </row>
    <row r="423" ht="15">
      <c r="N423" s="56"/>
    </row>
    <row r="424" ht="15">
      <c r="N424" s="56"/>
    </row>
    <row r="425" ht="15">
      <c r="N425" s="56"/>
    </row>
    <row r="426" ht="15">
      <c r="N426" s="56"/>
    </row>
    <row r="427" ht="15">
      <c r="N427" s="56"/>
    </row>
    <row r="428" ht="15">
      <c r="N428" s="56"/>
    </row>
    <row r="429" ht="15">
      <c r="N429" s="56"/>
    </row>
    <row r="430" ht="15">
      <c r="N430" s="56"/>
    </row>
    <row r="431" ht="15">
      <c r="N431" s="56"/>
    </row>
    <row r="432" ht="15">
      <c r="N432" s="56"/>
    </row>
    <row r="433" ht="15">
      <c r="N433" s="56"/>
    </row>
    <row r="434" ht="15">
      <c r="N434" s="56"/>
    </row>
    <row r="435" ht="15">
      <c r="N435" s="56"/>
    </row>
    <row r="436" ht="15">
      <c r="N436" s="56"/>
    </row>
    <row r="437" ht="15">
      <c r="N437" s="56"/>
    </row>
    <row r="438" ht="15">
      <c r="N438" s="56"/>
    </row>
    <row r="439" ht="15">
      <c r="N439" s="56"/>
    </row>
    <row r="440" ht="15">
      <c r="N440" s="56"/>
    </row>
    <row r="441" ht="15">
      <c r="N441" s="56"/>
    </row>
    <row r="442" ht="15">
      <c r="N442" s="56"/>
    </row>
    <row r="443" ht="15">
      <c r="N443" s="56"/>
    </row>
    <row r="444" ht="15">
      <c r="N444" s="56"/>
    </row>
    <row r="445" ht="15">
      <c r="N445" s="56"/>
    </row>
    <row r="446" ht="15">
      <c r="N446" s="56"/>
    </row>
    <row r="447" ht="15">
      <c r="N447" s="56"/>
    </row>
    <row r="448" ht="15">
      <c r="N448" s="56"/>
    </row>
    <row r="449" ht="15">
      <c r="N449" s="56"/>
    </row>
    <row r="450" ht="15">
      <c r="N450" s="56"/>
    </row>
    <row r="451" ht="15">
      <c r="N451" s="56"/>
    </row>
    <row r="452" ht="15">
      <c r="N452" s="56"/>
    </row>
    <row r="453" ht="15">
      <c r="N453" s="56"/>
    </row>
    <row r="454" ht="15">
      <c r="N454" s="56"/>
    </row>
    <row r="455" ht="15">
      <c r="N455" s="56"/>
    </row>
    <row r="456" ht="15">
      <c r="N456" s="56"/>
    </row>
    <row r="457" ht="15">
      <c r="N457" s="56"/>
    </row>
    <row r="458" ht="15">
      <c r="N458" s="56"/>
    </row>
    <row r="459" ht="15">
      <c r="N459" s="56"/>
    </row>
    <row r="460" ht="15">
      <c r="N460" s="56"/>
    </row>
    <row r="461" ht="15">
      <c r="N461" s="56"/>
    </row>
    <row r="462" ht="15">
      <c r="N462" s="56"/>
    </row>
    <row r="463" ht="15">
      <c r="N463" s="56"/>
    </row>
    <row r="464" ht="15">
      <c r="N464" s="56"/>
    </row>
    <row r="465" ht="15">
      <c r="N465" s="56"/>
    </row>
    <row r="466" ht="15">
      <c r="N466" s="56"/>
    </row>
    <row r="467" ht="15">
      <c r="N467" s="56"/>
    </row>
    <row r="468" ht="15">
      <c r="N468" s="56"/>
    </row>
    <row r="469" ht="15">
      <c r="N469" s="56"/>
    </row>
    <row r="470" ht="15">
      <c r="N470" s="56"/>
    </row>
    <row r="471" ht="15">
      <c r="N471" s="56"/>
    </row>
    <row r="472" ht="15">
      <c r="N472" s="56"/>
    </row>
    <row r="473" ht="15">
      <c r="N473" s="56"/>
    </row>
    <row r="474" ht="15">
      <c r="N474" s="56"/>
    </row>
    <row r="475" ht="15">
      <c r="N475" s="56"/>
    </row>
    <row r="476" ht="15">
      <c r="N476" s="56"/>
    </row>
    <row r="477" ht="15">
      <c r="N477" s="56"/>
    </row>
    <row r="478" ht="15">
      <c r="N478" s="56"/>
    </row>
    <row r="479" ht="15">
      <c r="N479" s="56"/>
    </row>
    <row r="480" ht="15">
      <c r="N480" s="56"/>
    </row>
    <row r="481" ht="15">
      <c r="N481" s="56"/>
    </row>
    <row r="482" ht="15">
      <c r="N482" s="56"/>
    </row>
    <row r="483" ht="15">
      <c r="N483" s="56"/>
    </row>
    <row r="484" ht="15">
      <c r="N484" s="56"/>
    </row>
    <row r="485" ht="15">
      <c r="N485" s="56"/>
    </row>
    <row r="486" ht="15">
      <c r="N486" s="56"/>
    </row>
    <row r="487" ht="15">
      <c r="N487" s="56"/>
    </row>
    <row r="488" ht="15">
      <c r="N488" s="56"/>
    </row>
    <row r="489" ht="15">
      <c r="N489" s="56"/>
    </row>
    <row r="490" ht="15">
      <c r="N490" s="56"/>
    </row>
    <row r="491" ht="15">
      <c r="N491" s="56"/>
    </row>
    <row r="492" ht="15">
      <c r="N492" s="56"/>
    </row>
    <row r="493" ht="15">
      <c r="N493" s="56"/>
    </row>
    <row r="494" ht="15">
      <c r="N494" s="56"/>
    </row>
    <row r="495" ht="15">
      <c r="N495" s="56"/>
    </row>
    <row r="496" ht="15">
      <c r="N496" s="56"/>
    </row>
    <row r="497" ht="15">
      <c r="N497" s="56"/>
    </row>
    <row r="498" ht="15">
      <c r="N498" s="56"/>
    </row>
    <row r="499" ht="15">
      <c r="N499" s="56"/>
    </row>
    <row r="500" ht="15">
      <c r="N500" s="56"/>
    </row>
    <row r="501" ht="15">
      <c r="N501" s="56"/>
    </row>
    <row r="502" ht="15">
      <c r="N502" s="56"/>
    </row>
    <row r="503" ht="15">
      <c r="N503" s="56"/>
    </row>
    <row r="504" ht="15">
      <c r="N504" s="56"/>
    </row>
    <row r="505" ht="15">
      <c r="N505" s="56"/>
    </row>
    <row r="506" ht="15">
      <c r="N506" s="56"/>
    </row>
    <row r="507" ht="15">
      <c r="N507" s="56"/>
    </row>
    <row r="508" ht="15">
      <c r="N508" s="56"/>
    </row>
    <row r="509" ht="15">
      <c r="N509" s="56"/>
    </row>
    <row r="510" ht="15">
      <c r="N510" s="56"/>
    </row>
    <row r="511" ht="15">
      <c r="N511" s="56"/>
    </row>
    <row r="512" ht="15">
      <c r="N512" s="56"/>
    </row>
    <row r="513" ht="15">
      <c r="N513" s="56"/>
    </row>
    <row r="514" ht="15">
      <c r="N514" s="56"/>
    </row>
    <row r="515" ht="15">
      <c r="N515" s="56"/>
    </row>
    <row r="516" ht="15">
      <c r="N516" s="56"/>
    </row>
    <row r="517" ht="15">
      <c r="N517" s="56"/>
    </row>
    <row r="518" ht="15">
      <c r="N518" s="56"/>
    </row>
    <row r="519" ht="15">
      <c r="N519" s="56"/>
    </row>
    <row r="520" ht="15">
      <c r="N520" s="56"/>
    </row>
    <row r="521" ht="15">
      <c r="N521" s="56"/>
    </row>
    <row r="522" ht="15">
      <c r="N522" s="56"/>
    </row>
    <row r="523" ht="15">
      <c r="N523" s="56"/>
    </row>
    <row r="524" ht="15">
      <c r="N524" s="56"/>
    </row>
    <row r="525" ht="15">
      <c r="N525" s="56"/>
    </row>
    <row r="526" ht="15">
      <c r="N526" s="56"/>
    </row>
    <row r="527" ht="15">
      <c r="N527" s="56"/>
    </row>
    <row r="528" ht="15">
      <c r="N528" s="56"/>
    </row>
    <row r="529" ht="15">
      <c r="N529" s="56"/>
    </row>
    <row r="530" ht="15">
      <c r="N530" s="56"/>
    </row>
    <row r="531" ht="15">
      <c r="N531" s="56"/>
    </row>
    <row r="532" ht="15">
      <c r="N532" s="56"/>
    </row>
    <row r="533" ht="15">
      <c r="N533" s="56"/>
    </row>
    <row r="534" ht="15">
      <c r="N534" s="56"/>
    </row>
    <row r="535" ht="15">
      <c r="N535" s="56"/>
    </row>
    <row r="536" ht="15">
      <c r="N536" s="56"/>
    </row>
    <row r="537" ht="15">
      <c r="N537" s="56"/>
    </row>
    <row r="538" ht="15">
      <c r="N538" s="56"/>
    </row>
    <row r="539" ht="15">
      <c r="N539" s="56"/>
    </row>
  </sheetData>
  <sheetProtection/>
  <mergeCells count="33">
    <mergeCell ref="A230:H230"/>
    <mergeCell ref="A221:H221"/>
    <mergeCell ref="A222:H222"/>
    <mergeCell ref="A223:H223"/>
    <mergeCell ref="A227:B229"/>
    <mergeCell ref="C227:H227"/>
    <mergeCell ref="C228:H228"/>
    <mergeCell ref="C229:H229"/>
    <mergeCell ref="A102:H102"/>
    <mergeCell ref="A104:I104"/>
    <mergeCell ref="A134:I134"/>
    <mergeCell ref="A200:I200"/>
    <mergeCell ref="A215:I215"/>
    <mergeCell ref="A220:I220"/>
    <mergeCell ref="A18:I18"/>
    <mergeCell ref="Q18:AN18"/>
    <mergeCell ref="A93:I93"/>
    <mergeCell ref="A94:I94"/>
    <mergeCell ref="A98:H98"/>
    <mergeCell ref="A99:I99"/>
    <mergeCell ref="A13:I13"/>
    <mergeCell ref="A14:I14"/>
    <mergeCell ref="B15:B17"/>
    <mergeCell ref="E15:E17"/>
    <mergeCell ref="F15:F17"/>
    <mergeCell ref="G15:G17"/>
    <mergeCell ref="H15:H17"/>
    <mergeCell ref="A8:I8"/>
    <mergeCell ref="A9:I9"/>
    <mergeCell ref="A10:I10"/>
    <mergeCell ref="A11:I11"/>
    <mergeCell ref="A12:I12"/>
    <mergeCell ref="M12:U12"/>
  </mergeCells>
  <printOptions horizontalCentered="1"/>
  <pageMargins left="0.7" right="0.7" top="1" bottom="1" header="0" footer="0"/>
  <pageSetup fitToHeight="0" fitToWidth="1" horizontalDpi="600" verticalDpi="600" orientation="portrait" scale="4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M525"/>
  <sheetViews>
    <sheetView zoomScale="70" zoomScaleNormal="70" zoomScalePageLayoutView="0" workbookViewId="0" topLeftCell="A191">
      <selection activeCell="C222" sqref="C222"/>
    </sheetView>
  </sheetViews>
  <sheetFormatPr defaultColWidth="10.8984375" defaultRowHeight="15"/>
  <cols>
    <col min="1" max="1" width="10.59765625" style="2" customWidth="1"/>
    <col min="2" max="2" width="12.59765625" style="2" customWidth="1"/>
    <col min="3" max="3" width="104.59765625" style="2" bestFit="1" customWidth="1"/>
    <col min="4" max="4" width="10.59765625" style="2" customWidth="1"/>
    <col min="5" max="5" width="16.59765625" style="2" hidden="1" customWidth="1"/>
    <col min="6" max="6" width="16.59765625" style="98" customWidth="1"/>
    <col min="7" max="7" width="16.59765625" style="3" hidden="1" customWidth="1"/>
    <col min="8" max="8" width="16.59765625" style="2" customWidth="1"/>
    <col min="9" max="9" width="20.59765625" style="2" customWidth="1"/>
    <col min="10" max="10" width="18.19921875" style="2" customWidth="1"/>
    <col min="11" max="11" width="18.19921875" style="4" customWidth="1"/>
    <col min="12" max="12" width="4.09765625" style="5" customWidth="1"/>
    <col min="13" max="13" width="24.09765625" style="5" customWidth="1"/>
    <col min="14" max="14" width="17.3984375" style="6" customWidth="1"/>
    <col min="15" max="15" width="10.8984375" style="5" customWidth="1"/>
    <col min="16" max="16" width="13.5" style="5" customWidth="1"/>
    <col min="17" max="38" width="7.59765625" style="5" customWidth="1"/>
    <col min="39" max="16384" width="10.8984375" style="5" customWidth="1"/>
  </cols>
  <sheetData>
    <row r="1" spans="1:2" ht="15.75" hidden="1">
      <c r="A1" s="1" t="s">
        <v>20</v>
      </c>
      <c r="B1" s="1"/>
    </row>
    <row r="2" spans="1:3" ht="15" hidden="1">
      <c r="A2" s="2" t="s">
        <v>13</v>
      </c>
      <c r="C2" s="7" t="s">
        <v>21</v>
      </c>
    </row>
    <row r="3" spans="1:3" ht="15" hidden="1">
      <c r="A3" s="7" t="s">
        <v>14</v>
      </c>
      <c r="B3" s="7"/>
      <c r="C3" s="7" t="s">
        <v>36</v>
      </c>
    </row>
    <row r="4" spans="1:3" ht="15" hidden="1">
      <c r="A4" s="2" t="s">
        <v>15</v>
      </c>
      <c r="C4" s="7" t="s">
        <v>37</v>
      </c>
    </row>
    <row r="5" spans="1:3" ht="15" hidden="1">
      <c r="A5" s="2" t="s">
        <v>16</v>
      </c>
      <c r="C5" s="7" t="s">
        <v>18</v>
      </c>
    </row>
    <row r="6" spans="1:3" ht="15" hidden="1">
      <c r="A6" s="7" t="s">
        <v>17</v>
      </c>
      <c r="B6" s="7"/>
      <c r="C6" s="7" t="s">
        <v>19</v>
      </c>
    </row>
    <row r="7" spans="1:2" ht="15" hidden="1">
      <c r="A7" s="8"/>
      <c r="B7" s="8"/>
    </row>
    <row r="8" spans="1:14" ht="20.25">
      <c r="A8" s="327" t="s">
        <v>147</v>
      </c>
      <c r="B8" s="327"/>
      <c r="C8" s="327"/>
      <c r="D8" s="327"/>
      <c r="E8" s="327"/>
      <c r="F8" s="327"/>
      <c r="G8" s="327"/>
      <c r="H8" s="327"/>
      <c r="I8" s="327"/>
      <c r="J8" s="96" t="s">
        <v>55</v>
      </c>
      <c r="K8" s="97">
        <v>0.05</v>
      </c>
      <c r="M8" s="46">
        <f>SUM(I20:I83)+I95+I125+I185+I199</f>
        <v>17189981</v>
      </c>
      <c r="N8" s="47" t="s">
        <v>22</v>
      </c>
    </row>
    <row r="9" spans="1:14" ht="20.25">
      <c r="A9" s="327" t="s">
        <v>148</v>
      </c>
      <c r="B9" s="327"/>
      <c r="C9" s="327"/>
      <c r="D9" s="327"/>
      <c r="E9" s="327"/>
      <c r="F9" s="327"/>
      <c r="G9" s="327"/>
      <c r="H9" s="327"/>
      <c r="I9" s="327"/>
      <c r="J9" s="96" t="s">
        <v>54</v>
      </c>
      <c r="K9" s="97">
        <v>0.03</v>
      </c>
      <c r="M9" s="46">
        <f>ROUND(M8*N9,0)</f>
        <v>1718998</v>
      </c>
      <c r="N9" s="52">
        <v>0.1</v>
      </c>
    </row>
    <row r="10" spans="1:14" ht="20.25">
      <c r="A10" s="327" t="s">
        <v>87</v>
      </c>
      <c r="B10" s="327"/>
      <c r="C10" s="327"/>
      <c r="D10" s="327"/>
      <c r="E10" s="327"/>
      <c r="F10" s="327"/>
      <c r="G10" s="327"/>
      <c r="H10" s="327"/>
      <c r="I10" s="327"/>
      <c r="M10" s="46">
        <f>SUM(I21:I83)+I95+I125+I185+I199</f>
        <v>15627255</v>
      </c>
      <c r="N10" s="47" t="s">
        <v>23</v>
      </c>
    </row>
    <row r="11" spans="1:14" ht="20.25">
      <c r="A11" s="327" t="s">
        <v>149</v>
      </c>
      <c r="B11" s="327"/>
      <c r="C11" s="327"/>
      <c r="D11" s="327"/>
      <c r="E11" s="327"/>
      <c r="F11" s="327"/>
      <c r="G11" s="327"/>
      <c r="H11" s="327"/>
      <c r="I11" s="327"/>
      <c r="M11" s="46">
        <f>ROUND(M10*N11,0)</f>
        <v>1562726</v>
      </c>
      <c r="N11" s="52">
        <v>0.1</v>
      </c>
    </row>
    <row r="12" spans="1:21" ht="20.25">
      <c r="A12" s="327"/>
      <c r="B12" s="327"/>
      <c r="C12" s="327"/>
      <c r="D12" s="327"/>
      <c r="E12" s="327"/>
      <c r="F12" s="327"/>
      <c r="G12" s="327"/>
      <c r="H12" s="327"/>
      <c r="I12" s="327"/>
      <c r="M12" s="327"/>
      <c r="N12" s="327"/>
      <c r="O12" s="327"/>
      <c r="P12" s="327"/>
      <c r="Q12" s="327"/>
      <c r="R12" s="327"/>
      <c r="S12" s="327"/>
      <c r="T12" s="327"/>
      <c r="U12" s="327"/>
    </row>
    <row r="13" spans="1:19" ht="18.75" thickBot="1">
      <c r="A13" s="328" t="s">
        <v>88</v>
      </c>
      <c r="B13" s="328"/>
      <c r="C13" s="328"/>
      <c r="D13" s="328"/>
      <c r="E13" s="328"/>
      <c r="F13" s="328"/>
      <c r="G13" s="328"/>
      <c r="H13" s="328"/>
      <c r="I13" s="328"/>
      <c r="R13" s="46"/>
      <c r="S13" s="47"/>
    </row>
    <row r="14" spans="1:16" ht="46.5" customHeight="1" thickBot="1" thickTop="1">
      <c r="A14" s="329" t="s">
        <v>354</v>
      </c>
      <c r="B14" s="330"/>
      <c r="C14" s="330"/>
      <c r="D14" s="330"/>
      <c r="E14" s="330"/>
      <c r="F14" s="330"/>
      <c r="G14" s="330"/>
      <c r="H14" s="330"/>
      <c r="I14" s="331"/>
      <c r="J14" s="9"/>
      <c r="M14" s="95" t="s">
        <v>343</v>
      </c>
      <c r="N14" s="10"/>
      <c r="O14" s="11"/>
      <c r="P14" s="11"/>
    </row>
    <row r="15" spans="1:16" ht="16.5" thickTop="1">
      <c r="A15" s="74"/>
      <c r="B15" s="332" t="s">
        <v>39</v>
      </c>
      <c r="C15" s="12"/>
      <c r="D15" s="12"/>
      <c r="E15" s="334" t="s">
        <v>341</v>
      </c>
      <c r="F15" s="336" t="s">
        <v>40</v>
      </c>
      <c r="G15" s="334" t="s">
        <v>342</v>
      </c>
      <c r="H15" s="332" t="s">
        <v>53</v>
      </c>
      <c r="I15" s="75"/>
      <c r="M15" s="11"/>
      <c r="N15" s="11"/>
      <c r="P15" s="11"/>
    </row>
    <row r="16" spans="1:16" ht="15.75" customHeight="1">
      <c r="A16" s="76" t="s">
        <v>3</v>
      </c>
      <c r="B16" s="332"/>
      <c r="C16" s="12" t="s">
        <v>4</v>
      </c>
      <c r="D16" s="13" t="s">
        <v>5</v>
      </c>
      <c r="E16" s="334"/>
      <c r="F16" s="336"/>
      <c r="G16" s="338"/>
      <c r="H16" s="340"/>
      <c r="I16" s="77" t="s">
        <v>6</v>
      </c>
      <c r="J16" s="14" t="s">
        <v>1</v>
      </c>
      <c r="K16" s="14" t="s">
        <v>2</v>
      </c>
      <c r="M16" s="11"/>
      <c r="N16" s="11"/>
      <c r="P16" s="11"/>
    </row>
    <row r="17" spans="1:16" ht="16.5" thickBot="1">
      <c r="A17" s="78"/>
      <c r="B17" s="333"/>
      <c r="C17" s="73"/>
      <c r="D17" s="73"/>
      <c r="E17" s="335"/>
      <c r="F17" s="337"/>
      <c r="G17" s="339"/>
      <c r="H17" s="341"/>
      <c r="I17" s="79"/>
      <c r="J17" s="15" t="s">
        <v>7</v>
      </c>
      <c r="K17" s="15" t="s">
        <v>8</v>
      </c>
      <c r="M17" s="16"/>
      <c r="N17" s="16"/>
      <c r="O17" s="17"/>
      <c r="P17" s="11"/>
    </row>
    <row r="18" spans="1:38" ht="23.25" customHeight="1" thickBot="1" thickTop="1">
      <c r="A18" s="342" t="s">
        <v>42</v>
      </c>
      <c r="B18" s="343"/>
      <c r="C18" s="343"/>
      <c r="D18" s="343"/>
      <c r="E18" s="343"/>
      <c r="F18" s="343"/>
      <c r="G18" s="343"/>
      <c r="H18" s="343"/>
      <c r="I18" s="344"/>
      <c r="J18" s="15"/>
      <c r="K18" s="15"/>
      <c r="M18" s="16"/>
      <c r="N18" s="16"/>
      <c r="O18" s="17"/>
      <c r="P18" s="11"/>
      <c r="Q18" s="381" t="s">
        <v>344</v>
      </c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3"/>
    </row>
    <row r="19" spans="1:39" ht="23.25" customHeight="1" thickTop="1">
      <c r="A19" s="18">
        <f>ROW()-18</f>
        <v>1</v>
      </c>
      <c r="B19" s="28" t="s">
        <v>174</v>
      </c>
      <c r="C19" s="20" t="s">
        <v>437</v>
      </c>
      <c r="D19" s="21" t="s">
        <v>9</v>
      </c>
      <c r="E19" s="21">
        <v>1</v>
      </c>
      <c r="F19" s="99">
        <f>E19</f>
        <v>1</v>
      </c>
      <c r="G19" s="23"/>
      <c r="H19" s="24">
        <f>M9</f>
        <v>1718998</v>
      </c>
      <c r="I19" s="25">
        <f aca="true" t="shared" si="0" ref="I19:I82">ROUNDUP(F19*H19,0)</f>
        <v>1718998</v>
      </c>
      <c r="J19" s="26"/>
      <c r="K19" s="27"/>
      <c r="M19" s="69"/>
      <c r="P19" s="11"/>
      <c r="Q19" s="88" t="s">
        <v>317</v>
      </c>
      <c r="R19" s="88" t="s">
        <v>318</v>
      </c>
      <c r="S19" s="88" t="s">
        <v>319</v>
      </c>
      <c r="T19" s="88" t="s">
        <v>320</v>
      </c>
      <c r="U19" s="88" t="s">
        <v>321</v>
      </c>
      <c r="V19" s="88" t="s">
        <v>322</v>
      </c>
      <c r="W19" s="88" t="s">
        <v>323</v>
      </c>
      <c r="X19" s="88" t="s">
        <v>324</v>
      </c>
      <c r="Y19" s="88" t="s">
        <v>325</v>
      </c>
      <c r="Z19" s="88" t="s">
        <v>326</v>
      </c>
      <c r="AA19" s="88" t="s">
        <v>327</v>
      </c>
      <c r="AB19" s="88" t="s">
        <v>328</v>
      </c>
      <c r="AC19" s="88" t="s">
        <v>329</v>
      </c>
      <c r="AD19" s="88" t="s">
        <v>330</v>
      </c>
      <c r="AE19" s="88" t="s">
        <v>331</v>
      </c>
      <c r="AF19" s="88" t="s">
        <v>332</v>
      </c>
      <c r="AG19" s="88" t="s">
        <v>333</v>
      </c>
      <c r="AH19" s="88" t="s">
        <v>334</v>
      </c>
      <c r="AI19" s="88" t="s">
        <v>335</v>
      </c>
      <c r="AJ19" s="88" t="s">
        <v>336</v>
      </c>
      <c r="AK19" s="88" t="s">
        <v>337</v>
      </c>
      <c r="AL19" s="88" t="s">
        <v>338</v>
      </c>
      <c r="AM19" s="87"/>
    </row>
    <row r="20" spans="1:39" s="17" customFormat="1" ht="23.25" customHeight="1">
      <c r="A20" s="18">
        <f aca="true" t="shared" si="1" ref="A20:A83">ROW()-18</f>
        <v>2</v>
      </c>
      <c r="B20" s="28" t="s">
        <v>175</v>
      </c>
      <c r="C20" s="29" t="s">
        <v>438</v>
      </c>
      <c r="D20" s="30" t="s">
        <v>9</v>
      </c>
      <c r="E20" s="30">
        <v>1</v>
      </c>
      <c r="F20" s="100">
        <f>E20</f>
        <v>1</v>
      </c>
      <c r="G20" s="32"/>
      <c r="H20" s="33">
        <f>M11</f>
        <v>1562726</v>
      </c>
      <c r="I20" s="34">
        <f t="shared" si="0"/>
        <v>1562726</v>
      </c>
      <c r="J20" s="35"/>
      <c r="K20" s="36"/>
      <c r="M20" s="68"/>
      <c r="N20" s="84"/>
      <c r="P20" s="16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17">
        <f>SUM(Q20:AL20)</f>
        <v>0</v>
      </c>
    </row>
    <row r="21" spans="1:39" s="17" customFormat="1" ht="23.25" customHeight="1">
      <c r="A21" s="18">
        <f t="shared" si="1"/>
        <v>3</v>
      </c>
      <c r="B21" s="28" t="s">
        <v>70</v>
      </c>
      <c r="C21" s="29" t="s">
        <v>67</v>
      </c>
      <c r="D21" s="30" t="s">
        <v>12</v>
      </c>
      <c r="E21" s="39">
        <v>142</v>
      </c>
      <c r="F21" s="39">
        <f>E21</f>
        <v>142</v>
      </c>
      <c r="G21" s="64">
        <v>1.57</v>
      </c>
      <c r="H21" s="33">
        <f aca="true" t="shared" si="2" ref="H21:H70">_xlfn.CEILING.MATH(G21*(1+$K$9),1)</f>
        <v>2</v>
      </c>
      <c r="I21" s="34">
        <f t="shared" si="0"/>
        <v>284</v>
      </c>
      <c r="J21" s="35"/>
      <c r="K21" s="36"/>
      <c r="M21" s="68"/>
      <c r="N21" s="84"/>
      <c r="P21" s="16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17">
        <f aca="true" t="shared" si="3" ref="AM21:AM80">SUM(Q21:AL21)</f>
        <v>0</v>
      </c>
    </row>
    <row r="22" spans="1:39" s="17" customFormat="1" ht="23.25" customHeight="1">
      <c r="A22" s="18">
        <f t="shared" si="1"/>
        <v>4</v>
      </c>
      <c r="B22" s="28" t="s">
        <v>68</v>
      </c>
      <c r="C22" s="29" t="s">
        <v>65</v>
      </c>
      <c r="D22" s="30" t="s">
        <v>11</v>
      </c>
      <c r="E22" s="39">
        <v>29222</v>
      </c>
      <c r="F22" s="39">
        <f>E22</f>
        <v>29222</v>
      </c>
      <c r="G22" s="64">
        <v>3.64</v>
      </c>
      <c r="H22" s="33">
        <f t="shared" si="2"/>
        <v>4</v>
      </c>
      <c r="I22" s="34">
        <f t="shared" si="0"/>
        <v>116888</v>
      </c>
      <c r="J22" s="35"/>
      <c r="K22" s="36"/>
      <c r="M22" s="68"/>
      <c r="N22" s="84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17">
        <f t="shared" si="3"/>
        <v>0</v>
      </c>
    </row>
    <row r="23" spans="1:39" s="17" customFormat="1" ht="23.25" customHeight="1">
      <c r="A23" s="18">
        <f t="shared" si="1"/>
        <v>5</v>
      </c>
      <c r="B23" s="28" t="s">
        <v>439</v>
      </c>
      <c r="C23" s="29" t="s">
        <v>440</v>
      </c>
      <c r="D23" s="30" t="s">
        <v>11</v>
      </c>
      <c r="E23" s="39">
        <v>1773</v>
      </c>
      <c r="F23" s="39">
        <f>E23</f>
        <v>1773</v>
      </c>
      <c r="G23" s="64">
        <v>114.83</v>
      </c>
      <c r="H23" s="33">
        <f t="shared" si="2"/>
        <v>119</v>
      </c>
      <c r="I23" s="34">
        <f t="shared" si="0"/>
        <v>210987</v>
      </c>
      <c r="J23" s="35"/>
      <c r="K23" s="36"/>
      <c r="M23" s="68"/>
      <c r="N23" s="84"/>
      <c r="O23" s="70"/>
      <c r="Q23" s="90"/>
      <c r="R23" s="91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17">
        <f t="shared" si="3"/>
        <v>0</v>
      </c>
    </row>
    <row r="24" spans="1:39" s="17" customFormat="1" ht="23.25" customHeight="1">
      <c r="A24" s="18">
        <f t="shared" si="1"/>
        <v>6</v>
      </c>
      <c r="B24" s="28" t="s">
        <v>24</v>
      </c>
      <c r="C24" s="29" t="s">
        <v>44</v>
      </c>
      <c r="D24" s="30" t="s">
        <v>84</v>
      </c>
      <c r="E24" s="65">
        <v>42.03</v>
      </c>
      <c r="F24" s="65">
        <f>E24*1+K8</f>
        <v>42.08</v>
      </c>
      <c r="G24" s="64">
        <v>7765.83</v>
      </c>
      <c r="H24" s="33">
        <f t="shared" si="2"/>
        <v>7999</v>
      </c>
      <c r="I24" s="34">
        <f t="shared" si="0"/>
        <v>336598</v>
      </c>
      <c r="J24" s="35"/>
      <c r="K24" s="36"/>
      <c r="M24" s="68"/>
      <c r="N24" s="84"/>
      <c r="Q24" s="90"/>
      <c r="R24" s="91"/>
      <c r="S24" s="92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17">
        <f t="shared" si="3"/>
        <v>0</v>
      </c>
    </row>
    <row r="25" spans="1:39" s="17" customFormat="1" ht="23.25" customHeight="1">
      <c r="A25" s="18">
        <f t="shared" si="1"/>
        <v>7</v>
      </c>
      <c r="B25" s="28" t="s">
        <v>31</v>
      </c>
      <c r="C25" s="37" t="s">
        <v>45</v>
      </c>
      <c r="D25" s="30" t="s">
        <v>10</v>
      </c>
      <c r="E25" s="39">
        <v>2980</v>
      </c>
      <c r="F25" s="39">
        <f>E25*1+K9</f>
        <v>2980.03</v>
      </c>
      <c r="G25" s="64">
        <v>17.15</v>
      </c>
      <c r="H25" s="33">
        <f t="shared" si="2"/>
        <v>18</v>
      </c>
      <c r="I25" s="34">
        <f t="shared" si="0"/>
        <v>53641</v>
      </c>
      <c r="J25" s="35"/>
      <c r="K25" s="36"/>
      <c r="M25" s="68"/>
      <c r="N25" s="84"/>
      <c r="P25" s="5"/>
      <c r="Q25" s="89"/>
      <c r="R25" s="89"/>
      <c r="S25" s="89"/>
      <c r="T25" s="92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17">
        <f t="shared" si="3"/>
        <v>0</v>
      </c>
    </row>
    <row r="26" spans="1:39" s="17" customFormat="1" ht="23.25" customHeight="1">
      <c r="A26" s="18">
        <f t="shared" si="1"/>
        <v>8</v>
      </c>
      <c r="B26" s="28" t="s">
        <v>82</v>
      </c>
      <c r="C26" s="37" t="s">
        <v>441</v>
      </c>
      <c r="D26" s="30" t="s">
        <v>12</v>
      </c>
      <c r="E26" s="39">
        <v>26</v>
      </c>
      <c r="F26" s="39">
        <f>E26</f>
        <v>26</v>
      </c>
      <c r="G26" s="64">
        <v>168.52</v>
      </c>
      <c r="H26" s="33">
        <f t="shared" si="2"/>
        <v>174</v>
      </c>
      <c r="I26" s="34">
        <f t="shared" si="0"/>
        <v>4524</v>
      </c>
      <c r="J26" s="35"/>
      <c r="K26" s="36"/>
      <c r="M26" s="68"/>
      <c r="N26" s="84"/>
      <c r="P26" s="5"/>
      <c r="Q26" s="93"/>
      <c r="R26" s="89"/>
      <c r="S26" s="89"/>
      <c r="T26" s="92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17">
        <f t="shared" si="3"/>
        <v>0</v>
      </c>
    </row>
    <row r="27" spans="1:39" s="17" customFormat="1" ht="23.25" customHeight="1">
      <c r="A27" s="18">
        <f t="shared" si="1"/>
        <v>9</v>
      </c>
      <c r="B27" s="28" t="s">
        <v>73</v>
      </c>
      <c r="C27" s="37" t="s">
        <v>71</v>
      </c>
      <c r="D27" s="30" t="s">
        <v>56</v>
      </c>
      <c r="E27" s="39">
        <v>77923</v>
      </c>
      <c r="F27" s="39">
        <f aca="true" t="shared" si="4" ref="F27:F70">E27</f>
        <v>77923</v>
      </c>
      <c r="G27" s="64">
        <v>5.53</v>
      </c>
      <c r="H27" s="33">
        <f t="shared" si="2"/>
        <v>6</v>
      </c>
      <c r="I27" s="34">
        <f t="shared" si="0"/>
        <v>467538</v>
      </c>
      <c r="J27" s="35"/>
      <c r="K27" s="36"/>
      <c r="M27" s="68"/>
      <c r="N27" s="84"/>
      <c r="P27" s="67"/>
      <c r="Q27" s="89"/>
      <c r="R27" s="89"/>
      <c r="S27" s="89"/>
      <c r="T27" s="92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17">
        <f t="shared" si="3"/>
        <v>0</v>
      </c>
    </row>
    <row r="28" spans="1:39" s="17" customFormat="1" ht="23.25" customHeight="1">
      <c r="A28" s="18">
        <f t="shared" si="1"/>
        <v>10</v>
      </c>
      <c r="B28" s="28" t="s">
        <v>74</v>
      </c>
      <c r="C28" s="37" t="s">
        <v>72</v>
      </c>
      <c r="D28" s="30" t="s">
        <v>56</v>
      </c>
      <c r="E28" s="39">
        <v>63558</v>
      </c>
      <c r="F28" s="39">
        <f t="shared" si="4"/>
        <v>63558</v>
      </c>
      <c r="G28" s="64">
        <v>10.5</v>
      </c>
      <c r="H28" s="33">
        <f t="shared" si="2"/>
        <v>11</v>
      </c>
      <c r="I28" s="34">
        <f t="shared" si="0"/>
        <v>699138</v>
      </c>
      <c r="J28" s="35"/>
      <c r="K28" s="36"/>
      <c r="M28" s="68"/>
      <c r="N28" s="84"/>
      <c r="P28" s="5"/>
      <c r="Q28" s="89"/>
      <c r="R28" s="89"/>
      <c r="S28" s="89"/>
      <c r="T28" s="92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17">
        <f t="shared" si="3"/>
        <v>0</v>
      </c>
    </row>
    <row r="29" spans="1:39" s="17" customFormat="1" ht="23.25" customHeight="1">
      <c r="A29" s="18">
        <f t="shared" si="1"/>
        <v>11</v>
      </c>
      <c r="B29" s="28" t="s">
        <v>41</v>
      </c>
      <c r="C29" s="37" t="s">
        <v>46</v>
      </c>
      <c r="D29" s="30" t="s">
        <v>10</v>
      </c>
      <c r="E29" s="39">
        <v>104104</v>
      </c>
      <c r="F29" s="39">
        <f t="shared" si="4"/>
        <v>104104</v>
      </c>
      <c r="G29" s="64">
        <v>4.09</v>
      </c>
      <c r="H29" s="33">
        <f t="shared" si="2"/>
        <v>5</v>
      </c>
      <c r="I29" s="34">
        <f t="shared" si="0"/>
        <v>520520</v>
      </c>
      <c r="J29" s="35"/>
      <c r="K29" s="36"/>
      <c r="M29" s="68"/>
      <c r="N29" s="84"/>
      <c r="P29" s="5"/>
      <c r="Q29" s="92"/>
      <c r="R29" s="92"/>
      <c r="S29" s="92"/>
      <c r="T29" s="92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17">
        <f t="shared" si="3"/>
        <v>0</v>
      </c>
    </row>
    <row r="30" spans="1:39" s="17" customFormat="1" ht="23.25" customHeight="1">
      <c r="A30" s="18">
        <f t="shared" si="1"/>
        <v>12</v>
      </c>
      <c r="B30" s="28" t="s">
        <v>92</v>
      </c>
      <c r="C30" s="37" t="s">
        <v>90</v>
      </c>
      <c r="D30" s="30" t="s">
        <v>10</v>
      </c>
      <c r="E30" s="39">
        <v>85470.5</v>
      </c>
      <c r="F30" s="39">
        <f t="shared" si="4"/>
        <v>85470.5</v>
      </c>
      <c r="G30" s="64">
        <v>15.97</v>
      </c>
      <c r="H30" s="33">
        <f t="shared" si="2"/>
        <v>17</v>
      </c>
      <c r="I30" s="34">
        <f t="shared" si="0"/>
        <v>1452999</v>
      </c>
      <c r="J30" s="35"/>
      <c r="K30" s="36"/>
      <c r="M30" s="68"/>
      <c r="N30" s="84"/>
      <c r="O30" s="47"/>
      <c r="P30" s="5"/>
      <c r="Q30" s="92"/>
      <c r="R30" s="92"/>
      <c r="S30" s="92"/>
      <c r="T30" s="92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17">
        <f t="shared" si="3"/>
        <v>0</v>
      </c>
    </row>
    <row r="31" spans="1:39" s="17" customFormat="1" ht="23.25" customHeight="1">
      <c r="A31" s="18">
        <f t="shared" si="1"/>
        <v>13</v>
      </c>
      <c r="B31" s="28" t="s">
        <v>364</v>
      </c>
      <c r="C31" s="37" t="s">
        <v>365</v>
      </c>
      <c r="D31" s="30" t="s">
        <v>10</v>
      </c>
      <c r="E31" s="39">
        <v>11120.1</v>
      </c>
      <c r="F31" s="39">
        <f t="shared" si="4"/>
        <v>11120.1</v>
      </c>
      <c r="G31" s="64">
        <v>45.67</v>
      </c>
      <c r="H31" s="33">
        <f t="shared" si="2"/>
        <v>48</v>
      </c>
      <c r="I31" s="34">
        <f t="shared" si="0"/>
        <v>533765</v>
      </c>
      <c r="J31" s="35"/>
      <c r="K31" s="36"/>
      <c r="M31" s="68"/>
      <c r="N31" s="84"/>
      <c r="O31" s="47"/>
      <c r="P31" s="5"/>
      <c r="Q31" s="92"/>
      <c r="R31" s="92"/>
      <c r="S31" s="92"/>
      <c r="T31" s="92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17">
        <f t="shared" si="3"/>
        <v>0</v>
      </c>
    </row>
    <row r="32" spans="1:38" s="17" customFormat="1" ht="23.25" customHeight="1">
      <c r="A32" s="18">
        <f t="shared" si="1"/>
        <v>14</v>
      </c>
      <c r="B32" s="28" t="s">
        <v>32</v>
      </c>
      <c r="C32" s="37" t="s">
        <v>95</v>
      </c>
      <c r="D32" s="30" t="s">
        <v>10</v>
      </c>
      <c r="E32" s="39">
        <v>1372.8</v>
      </c>
      <c r="F32" s="39">
        <f t="shared" si="4"/>
        <v>1372.8</v>
      </c>
      <c r="G32" s="64">
        <v>38.78</v>
      </c>
      <c r="H32" s="33">
        <f>_xlfn.CEILING.MATH(G32*(1+$K$9),1)</f>
        <v>40</v>
      </c>
      <c r="I32" s="34">
        <f t="shared" si="0"/>
        <v>54912</v>
      </c>
      <c r="J32" s="35"/>
      <c r="K32" s="36"/>
      <c r="M32" s="68"/>
      <c r="N32" s="84"/>
      <c r="O32" s="47"/>
      <c r="P32" s="5"/>
      <c r="Q32" s="92"/>
      <c r="R32" s="92"/>
      <c r="S32" s="92"/>
      <c r="T32" s="92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</row>
    <row r="33" spans="1:39" s="17" customFormat="1" ht="23.25" customHeight="1">
      <c r="A33" s="18">
        <f t="shared" si="1"/>
        <v>15</v>
      </c>
      <c r="B33" s="28" t="s">
        <v>99</v>
      </c>
      <c r="C33" s="37" t="s">
        <v>442</v>
      </c>
      <c r="D33" s="30" t="s">
        <v>10</v>
      </c>
      <c r="E33" s="39">
        <v>6360.4</v>
      </c>
      <c r="F33" s="39">
        <f t="shared" si="4"/>
        <v>6360.4</v>
      </c>
      <c r="G33" s="64">
        <v>3.43</v>
      </c>
      <c r="H33" s="33">
        <f>_xlfn.CEILING.MATH(G33*(1+$K$9),1)</f>
        <v>4</v>
      </c>
      <c r="I33" s="34">
        <f t="shared" si="0"/>
        <v>25442</v>
      </c>
      <c r="J33" s="35"/>
      <c r="K33" s="36"/>
      <c r="M33" s="68"/>
      <c r="N33" s="84"/>
      <c r="Q33" s="92"/>
      <c r="R33" s="92"/>
      <c r="S33" s="92"/>
      <c r="T33" s="92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17">
        <f t="shared" si="3"/>
        <v>0</v>
      </c>
    </row>
    <row r="34" spans="1:39" s="17" customFormat="1" ht="23.25" customHeight="1">
      <c r="A34" s="18">
        <f t="shared" si="1"/>
        <v>16</v>
      </c>
      <c r="B34" s="28" t="s">
        <v>38</v>
      </c>
      <c r="C34" s="37" t="s">
        <v>443</v>
      </c>
      <c r="D34" s="30" t="s">
        <v>27</v>
      </c>
      <c r="E34" s="65">
        <v>15948.8</v>
      </c>
      <c r="F34" s="65">
        <f t="shared" si="4"/>
        <v>15948.8</v>
      </c>
      <c r="G34" s="64">
        <v>88.59</v>
      </c>
      <c r="H34" s="33">
        <f>_xlfn.CEILING.MATH(G34*(1+$K$9),1)</f>
        <v>92</v>
      </c>
      <c r="I34" s="34">
        <f t="shared" si="0"/>
        <v>1467290</v>
      </c>
      <c r="J34" s="35"/>
      <c r="K34" s="36"/>
      <c r="M34" s="68"/>
      <c r="N34" s="84"/>
      <c r="Q34" s="92"/>
      <c r="R34" s="92"/>
      <c r="S34" s="92"/>
      <c r="T34" s="92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17">
        <f t="shared" si="3"/>
        <v>0</v>
      </c>
    </row>
    <row r="35" spans="1:39" s="17" customFormat="1" ht="23.25" customHeight="1">
      <c r="A35" s="18">
        <f t="shared" si="1"/>
        <v>17</v>
      </c>
      <c r="B35" s="28" t="s">
        <v>366</v>
      </c>
      <c r="C35" s="37" t="s">
        <v>444</v>
      </c>
      <c r="D35" s="30" t="s">
        <v>27</v>
      </c>
      <c r="E35" s="65">
        <v>463.5</v>
      </c>
      <c r="F35" s="65">
        <f t="shared" si="4"/>
        <v>463.5</v>
      </c>
      <c r="G35" s="64">
        <v>131.64</v>
      </c>
      <c r="H35" s="33">
        <f>_xlfn.CEILING.MATH(G35*(1+$K$9),1)</f>
        <v>136</v>
      </c>
      <c r="I35" s="34">
        <f t="shared" si="0"/>
        <v>63036</v>
      </c>
      <c r="J35" s="35"/>
      <c r="K35" s="36"/>
      <c r="M35" s="68"/>
      <c r="N35" s="84"/>
      <c r="Q35" s="92"/>
      <c r="R35" s="92"/>
      <c r="S35" s="92"/>
      <c r="T35" s="92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17">
        <f t="shared" si="3"/>
        <v>0</v>
      </c>
    </row>
    <row r="36" spans="1:39" s="17" customFormat="1" ht="22.5" customHeight="1">
      <c r="A36" s="18">
        <f t="shared" si="1"/>
        <v>18</v>
      </c>
      <c r="B36" s="28" t="s">
        <v>101</v>
      </c>
      <c r="C36" s="29" t="s">
        <v>445</v>
      </c>
      <c r="D36" s="30" t="s">
        <v>27</v>
      </c>
      <c r="E36" s="65">
        <v>7568.1</v>
      </c>
      <c r="F36" s="65">
        <f t="shared" si="4"/>
        <v>7568.1</v>
      </c>
      <c r="G36" s="64">
        <v>113.4</v>
      </c>
      <c r="H36" s="33">
        <f>_xlfn.CEILING.MATH(G36*(1+$K$9),1)</f>
        <v>117</v>
      </c>
      <c r="I36" s="34">
        <f t="shared" si="0"/>
        <v>885468</v>
      </c>
      <c r="J36" s="35"/>
      <c r="K36" s="36"/>
      <c r="M36" s="68"/>
      <c r="N36" s="84"/>
      <c r="O36" s="5"/>
      <c r="P36" s="5"/>
      <c r="Q36" s="92"/>
      <c r="R36" s="92"/>
      <c r="S36" s="92"/>
      <c r="T36" s="92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17">
        <f t="shared" si="3"/>
        <v>0</v>
      </c>
    </row>
    <row r="37" spans="1:39" s="17" customFormat="1" ht="22.5" customHeight="1">
      <c r="A37" s="18">
        <f t="shared" si="1"/>
        <v>19</v>
      </c>
      <c r="B37" s="28" t="s">
        <v>367</v>
      </c>
      <c r="C37" s="29" t="s">
        <v>368</v>
      </c>
      <c r="D37" s="30" t="s">
        <v>12</v>
      </c>
      <c r="E37" s="39">
        <v>2</v>
      </c>
      <c r="F37" s="39">
        <f t="shared" si="4"/>
        <v>2</v>
      </c>
      <c r="G37" s="64">
        <v>4503.09</v>
      </c>
      <c r="H37" s="33">
        <f t="shared" si="2"/>
        <v>4639</v>
      </c>
      <c r="I37" s="34">
        <f t="shared" si="0"/>
        <v>9278</v>
      </c>
      <c r="J37" s="35"/>
      <c r="K37" s="36"/>
      <c r="M37" s="68"/>
      <c r="N37" s="84"/>
      <c r="O37" s="5"/>
      <c r="P37" s="5"/>
      <c r="Q37" s="92"/>
      <c r="R37" s="92"/>
      <c r="S37" s="92"/>
      <c r="T37" s="92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17">
        <f t="shared" si="3"/>
        <v>0</v>
      </c>
    </row>
    <row r="38" spans="1:38" s="17" customFormat="1" ht="22.5" customHeight="1">
      <c r="A38" s="18">
        <f t="shared" si="1"/>
        <v>20</v>
      </c>
      <c r="B38" s="28" t="s">
        <v>178</v>
      </c>
      <c r="C38" s="29" t="s">
        <v>107</v>
      </c>
      <c r="D38" s="30" t="s">
        <v>12</v>
      </c>
      <c r="E38" s="39">
        <v>3</v>
      </c>
      <c r="F38" s="39">
        <f t="shared" si="4"/>
        <v>3</v>
      </c>
      <c r="G38" s="64">
        <v>4122.73</v>
      </c>
      <c r="H38" s="33">
        <f t="shared" si="2"/>
        <v>4247</v>
      </c>
      <c r="I38" s="34">
        <f t="shared" si="0"/>
        <v>12741</v>
      </c>
      <c r="J38" s="35"/>
      <c r="K38" s="36"/>
      <c r="M38" s="68"/>
      <c r="N38" s="84"/>
      <c r="O38" s="5"/>
      <c r="P38" s="5"/>
      <c r="Q38" s="92"/>
      <c r="R38" s="92"/>
      <c r="S38" s="92"/>
      <c r="T38" s="92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</row>
    <row r="39" spans="1:39" s="17" customFormat="1" ht="22.5" customHeight="1">
      <c r="A39" s="18">
        <f t="shared" si="1"/>
        <v>21</v>
      </c>
      <c r="B39" s="28" t="s">
        <v>180</v>
      </c>
      <c r="C39" s="29" t="s">
        <v>109</v>
      </c>
      <c r="D39" s="30" t="s">
        <v>12</v>
      </c>
      <c r="E39" s="39">
        <v>6</v>
      </c>
      <c r="F39" s="39">
        <f t="shared" si="4"/>
        <v>6</v>
      </c>
      <c r="G39" s="64">
        <v>6155.49</v>
      </c>
      <c r="H39" s="33">
        <f t="shared" si="2"/>
        <v>6341</v>
      </c>
      <c r="I39" s="34">
        <f t="shared" si="0"/>
        <v>38046</v>
      </c>
      <c r="J39" s="35"/>
      <c r="K39" s="36"/>
      <c r="M39" s="68"/>
      <c r="N39" s="84"/>
      <c r="O39" s="5"/>
      <c r="P39" s="5"/>
      <c r="Q39" s="92"/>
      <c r="R39" s="92"/>
      <c r="S39" s="92"/>
      <c r="T39" s="92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17">
        <f t="shared" si="3"/>
        <v>0</v>
      </c>
    </row>
    <row r="40" spans="1:39" s="17" customFormat="1" ht="22.5" customHeight="1">
      <c r="A40" s="18">
        <f t="shared" si="1"/>
        <v>22</v>
      </c>
      <c r="B40" s="28" t="s">
        <v>182</v>
      </c>
      <c r="C40" s="29" t="s">
        <v>446</v>
      </c>
      <c r="D40" s="30" t="s">
        <v>12</v>
      </c>
      <c r="E40" s="39">
        <v>2</v>
      </c>
      <c r="F40" s="39">
        <f t="shared" si="4"/>
        <v>2</v>
      </c>
      <c r="G40" s="64">
        <v>2926.3</v>
      </c>
      <c r="H40" s="33">
        <f t="shared" si="2"/>
        <v>3015</v>
      </c>
      <c r="I40" s="34">
        <f t="shared" si="0"/>
        <v>6030</v>
      </c>
      <c r="J40" s="35"/>
      <c r="K40" s="36"/>
      <c r="M40" s="68"/>
      <c r="N40" s="84"/>
      <c r="O40" s="5"/>
      <c r="P40" s="5"/>
      <c r="Q40" s="92"/>
      <c r="R40" s="92"/>
      <c r="S40" s="92"/>
      <c r="T40" s="92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17">
        <f t="shared" si="3"/>
        <v>0</v>
      </c>
    </row>
    <row r="41" spans="1:39" s="17" customFormat="1" ht="23.25" customHeight="1">
      <c r="A41" s="18">
        <f t="shared" si="1"/>
        <v>23</v>
      </c>
      <c r="B41" s="28" t="s">
        <v>183</v>
      </c>
      <c r="C41" s="37" t="s">
        <v>447</v>
      </c>
      <c r="D41" s="30" t="s">
        <v>12</v>
      </c>
      <c r="E41" s="39">
        <v>52</v>
      </c>
      <c r="F41" s="39">
        <f t="shared" si="4"/>
        <v>52</v>
      </c>
      <c r="G41" s="64">
        <v>7277.03</v>
      </c>
      <c r="H41" s="33">
        <f t="shared" si="2"/>
        <v>7496</v>
      </c>
      <c r="I41" s="34">
        <f t="shared" si="0"/>
        <v>389792</v>
      </c>
      <c r="J41" s="35"/>
      <c r="K41" s="36"/>
      <c r="M41" s="68"/>
      <c r="N41" s="84"/>
      <c r="O41" s="47"/>
      <c r="P41" s="5"/>
      <c r="Q41" s="89"/>
      <c r="R41" s="89"/>
      <c r="S41" s="89"/>
      <c r="T41" s="92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17">
        <f t="shared" si="3"/>
        <v>0</v>
      </c>
    </row>
    <row r="42" spans="1:39" s="17" customFormat="1" ht="23.25" customHeight="1">
      <c r="A42" s="18">
        <f t="shared" si="1"/>
        <v>24</v>
      </c>
      <c r="B42" s="28" t="s">
        <v>184</v>
      </c>
      <c r="C42" s="37" t="s">
        <v>448</v>
      </c>
      <c r="D42" s="30" t="s">
        <v>12</v>
      </c>
      <c r="E42" s="39">
        <v>24</v>
      </c>
      <c r="F42" s="39">
        <f t="shared" si="4"/>
        <v>24</v>
      </c>
      <c r="G42" s="64">
        <v>3671.25</v>
      </c>
      <c r="H42" s="33">
        <f t="shared" si="2"/>
        <v>3782</v>
      </c>
      <c r="I42" s="34">
        <f t="shared" si="0"/>
        <v>90768</v>
      </c>
      <c r="J42" s="35"/>
      <c r="K42" s="36"/>
      <c r="M42" s="68"/>
      <c r="N42" s="84"/>
      <c r="O42" s="47"/>
      <c r="P42" s="5"/>
      <c r="Q42" s="89"/>
      <c r="R42" s="89"/>
      <c r="S42" s="89"/>
      <c r="T42" s="92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17">
        <f t="shared" si="3"/>
        <v>0</v>
      </c>
    </row>
    <row r="43" spans="1:39" s="17" customFormat="1" ht="23.25" customHeight="1">
      <c r="A43" s="18">
        <f t="shared" si="1"/>
        <v>25</v>
      </c>
      <c r="B43" s="28" t="s">
        <v>186</v>
      </c>
      <c r="C43" s="37" t="s">
        <v>113</v>
      </c>
      <c r="D43" s="30" t="s">
        <v>12</v>
      </c>
      <c r="E43" s="39">
        <v>6</v>
      </c>
      <c r="F43" s="39">
        <f t="shared" si="4"/>
        <v>6</v>
      </c>
      <c r="G43" s="64">
        <v>3949.57</v>
      </c>
      <c r="H43" s="33">
        <f t="shared" si="2"/>
        <v>4069</v>
      </c>
      <c r="I43" s="34">
        <f t="shared" si="0"/>
        <v>24414</v>
      </c>
      <c r="J43" s="35"/>
      <c r="K43" s="36"/>
      <c r="M43" s="68"/>
      <c r="N43" s="84"/>
      <c r="O43" s="47"/>
      <c r="P43" s="5"/>
      <c r="Q43" s="89"/>
      <c r="R43" s="89"/>
      <c r="S43" s="89"/>
      <c r="T43" s="92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17">
        <f t="shared" si="3"/>
        <v>0</v>
      </c>
    </row>
    <row r="44" spans="1:38" s="17" customFormat="1" ht="23.25" customHeight="1">
      <c r="A44" s="18">
        <f t="shared" si="1"/>
        <v>26</v>
      </c>
      <c r="B44" s="28" t="s">
        <v>187</v>
      </c>
      <c r="C44" s="37" t="s">
        <v>449</v>
      </c>
      <c r="D44" s="30" t="s">
        <v>12</v>
      </c>
      <c r="E44" s="38">
        <v>3</v>
      </c>
      <c r="F44" s="39">
        <f t="shared" si="4"/>
        <v>3</v>
      </c>
      <c r="G44" s="64">
        <v>7347.62</v>
      </c>
      <c r="H44" s="33">
        <f>_xlfn.CEILING.MATH(G44*(1+$K$9),1)</f>
        <v>7569</v>
      </c>
      <c r="I44" s="34">
        <f t="shared" si="0"/>
        <v>22707</v>
      </c>
      <c r="J44" s="35"/>
      <c r="K44" s="36"/>
      <c r="M44" s="68"/>
      <c r="N44" s="84"/>
      <c r="O44" s="47"/>
      <c r="P44" s="5"/>
      <c r="Q44" s="89"/>
      <c r="R44" s="89"/>
      <c r="S44" s="89"/>
      <c r="T44" s="92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</row>
    <row r="45" spans="1:39" s="17" customFormat="1" ht="23.25" customHeight="1">
      <c r="A45" s="18">
        <f t="shared" si="1"/>
        <v>27</v>
      </c>
      <c r="B45" s="28" t="s">
        <v>315</v>
      </c>
      <c r="C45" s="37" t="s">
        <v>316</v>
      </c>
      <c r="D45" s="30" t="s">
        <v>12</v>
      </c>
      <c r="E45" s="38">
        <v>8</v>
      </c>
      <c r="F45" s="39">
        <f t="shared" si="4"/>
        <v>8</v>
      </c>
      <c r="G45" s="64">
        <v>8246.4</v>
      </c>
      <c r="H45" s="33">
        <f t="shared" si="2"/>
        <v>8494</v>
      </c>
      <c r="I45" s="34">
        <f t="shared" si="0"/>
        <v>67952</v>
      </c>
      <c r="J45" s="35"/>
      <c r="K45" s="36"/>
      <c r="M45" s="68"/>
      <c r="O45" s="47"/>
      <c r="P45" s="5"/>
      <c r="Q45" s="94"/>
      <c r="R45" s="94">
        <v>1</v>
      </c>
      <c r="S45" s="94">
        <f>1</f>
        <v>1</v>
      </c>
      <c r="T45" s="94">
        <v>2</v>
      </c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17">
        <f t="shared" si="3"/>
        <v>4</v>
      </c>
    </row>
    <row r="46" spans="1:39" s="17" customFormat="1" ht="23.25" customHeight="1">
      <c r="A46" s="18">
        <f t="shared" si="1"/>
        <v>28</v>
      </c>
      <c r="B46" s="28" t="s">
        <v>116</v>
      </c>
      <c r="C46" s="37" t="s">
        <v>115</v>
      </c>
      <c r="D46" s="30" t="s">
        <v>12</v>
      </c>
      <c r="E46" s="38">
        <v>9</v>
      </c>
      <c r="F46" s="39">
        <f t="shared" si="4"/>
        <v>9</v>
      </c>
      <c r="G46" s="64">
        <v>6535.38</v>
      </c>
      <c r="H46" s="33">
        <f t="shared" si="2"/>
        <v>6732</v>
      </c>
      <c r="I46" s="34">
        <f t="shared" si="0"/>
        <v>60588</v>
      </c>
      <c r="J46" s="35"/>
      <c r="K46" s="36"/>
      <c r="M46" s="68"/>
      <c r="O46" s="47"/>
      <c r="P46" s="5"/>
      <c r="Q46" s="94"/>
      <c r="R46" s="94"/>
      <c r="S46" s="94"/>
      <c r="T46" s="94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17">
        <f t="shared" si="3"/>
        <v>0</v>
      </c>
    </row>
    <row r="47" spans="1:39" s="17" customFormat="1" ht="23.25" customHeight="1">
      <c r="A47" s="18">
        <f t="shared" si="1"/>
        <v>29</v>
      </c>
      <c r="B47" s="28" t="s">
        <v>118</v>
      </c>
      <c r="C47" s="37" t="s">
        <v>450</v>
      </c>
      <c r="D47" s="30" t="s">
        <v>11</v>
      </c>
      <c r="E47" s="38">
        <v>3974</v>
      </c>
      <c r="F47" s="39">
        <f t="shared" si="4"/>
        <v>3974</v>
      </c>
      <c r="G47" s="64">
        <v>65.13</v>
      </c>
      <c r="H47" s="33">
        <f t="shared" si="2"/>
        <v>68</v>
      </c>
      <c r="I47" s="34">
        <f t="shared" si="0"/>
        <v>270232</v>
      </c>
      <c r="J47" s="35"/>
      <c r="K47" s="36"/>
      <c r="M47" s="68"/>
      <c r="O47" s="47"/>
      <c r="P47" s="5"/>
      <c r="Q47" s="94"/>
      <c r="R47" s="94"/>
      <c r="S47" s="94">
        <f>1</f>
        <v>1</v>
      </c>
      <c r="T47" s="94">
        <v>2</v>
      </c>
      <c r="U47" s="89"/>
      <c r="V47" s="89"/>
      <c r="W47" s="89"/>
      <c r="X47" s="89">
        <v>1</v>
      </c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17">
        <f t="shared" si="3"/>
        <v>4</v>
      </c>
    </row>
    <row r="48" spans="1:39" s="17" customFormat="1" ht="23.25" customHeight="1">
      <c r="A48" s="18">
        <f t="shared" si="1"/>
        <v>30</v>
      </c>
      <c r="B48" s="28" t="s">
        <v>120</v>
      </c>
      <c r="C48" s="37" t="s">
        <v>451</v>
      </c>
      <c r="D48" s="30" t="s">
        <v>11</v>
      </c>
      <c r="E48" s="38">
        <v>2326</v>
      </c>
      <c r="F48" s="39">
        <f t="shared" si="4"/>
        <v>2326</v>
      </c>
      <c r="G48" s="64">
        <v>73.65</v>
      </c>
      <c r="H48" s="33">
        <f t="shared" si="2"/>
        <v>76</v>
      </c>
      <c r="I48" s="34">
        <f t="shared" si="0"/>
        <v>176776</v>
      </c>
      <c r="J48" s="35"/>
      <c r="K48" s="36"/>
      <c r="M48" s="68"/>
      <c r="O48" s="47"/>
      <c r="P48" s="5"/>
      <c r="Q48" s="94"/>
      <c r="R48" s="94"/>
      <c r="S48" s="94"/>
      <c r="T48" s="94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17">
        <f t="shared" si="3"/>
        <v>0</v>
      </c>
    </row>
    <row r="49" spans="1:39" s="17" customFormat="1" ht="23.25" customHeight="1">
      <c r="A49" s="18">
        <f t="shared" si="1"/>
        <v>31</v>
      </c>
      <c r="B49" s="28" t="s">
        <v>122</v>
      </c>
      <c r="C49" s="37" t="s">
        <v>452</v>
      </c>
      <c r="D49" s="30" t="s">
        <v>11</v>
      </c>
      <c r="E49" s="38">
        <v>2552</v>
      </c>
      <c r="F49" s="39">
        <f t="shared" si="4"/>
        <v>2552</v>
      </c>
      <c r="G49" s="64">
        <v>94.92</v>
      </c>
      <c r="H49" s="33">
        <f t="shared" si="2"/>
        <v>98</v>
      </c>
      <c r="I49" s="34">
        <f t="shared" si="0"/>
        <v>250096</v>
      </c>
      <c r="J49" s="35"/>
      <c r="K49" s="36"/>
      <c r="M49" s="68"/>
      <c r="O49" s="47"/>
      <c r="P49" s="5"/>
      <c r="Q49" s="94"/>
      <c r="R49" s="94">
        <f>1</f>
        <v>1</v>
      </c>
      <c r="S49" s="94"/>
      <c r="T49" s="94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17">
        <f t="shared" si="3"/>
        <v>1</v>
      </c>
    </row>
    <row r="50" spans="1:39" s="17" customFormat="1" ht="23.25" customHeight="1">
      <c r="A50" s="18">
        <f t="shared" si="1"/>
        <v>32</v>
      </c>
      <c r="B50" s="28" t="s">
        <v>124</v>
      </c>
      <c r="C50" s="37" t="s">
        <v>453</v>
      </c>
      <c r="D50" s="30" t="s">
        <v>11</v>
      </c>
      <c r="E50" s="38">
        <v>3265</v>
      </c>
      <c r="F50" s="39">
        <f t="shared" si="4"/>
        <v>3265</v>
      </c>
      <c r="G50" s="64">
        <v>117.92</v>
      </c>
      <c r="H50" s="33">
        <f t="shared" si="2"/>
        <v>122</v>
      </c>
      <c r="I50" s="34">
        <f t="shared" si="0"/>
        <v>398330</v>
      </c>
      <c r="J50" s="35"/>
      <c r="K50" s="36"/>
      <c r="M50" s="68"/>
      <c r="O50" s="47"/>
      <c r="P50" s="5"/>
      <c r="Q50" s="94"/>
      <c r="R50" s="94"/>
      <c r="S50" s="94">
        <f>2</f>
        <v>2</v>
      </c>
      <c r="T50" s="94">
        <v>4</v>
      </c>
      <c r="U50" s="89">
        <v>4</v>
      </c>
      <c r="V50" s="89">
        <v>6</v>
      </c>
      <c r="W50" s="89">
        <v>7</v>
      </c>
      <c r="X50" s="89">
        <v>3</v>
      </c>
      <c r="Y50" s="89">
        <v>2</v>
      </c>
      <c r="Z50" s="89">
        <v>4</v>
      </c>
      <c r="AA50" s="89">
        <v>4</v>
      </c>
      <c r="AB50" s="89"/>
      <c r="AC50" s="89"/>
      <c r="AD50" s="89">
        <v>4</v>
      </c>
      <c r="AE50" s="89">
        <v>2</v>
      </c>
      <c r="AF50" s="89">
        <v>3</v>
      </c>
      <c r="AG50" s="89">
        <v>2</v>
      </c>
      <c r="AH50" s="89"/>
      <c r="AI50" s="89"/>
      <c r="AJ50" s="89"/>
      <c r="AK50" s="89"/>
      <c r="AL50" s="89"/>
      <c r="AM50" s="17">
        <f t="shared" si="3"/>
        <v>47</v>
      </c>
    </row>
    <row r="51" spans="1:39" s="17" customFormat="1" ht="22.5" customHeight="1">
      <c r="A51" s="18">
        <f t="shared" si="1"/>
        <v>33</v>
      </c>
      <c r="B51" s="28" t="s">
        <v>126</v>
      </c>
      <c r="C51" s="29" t="s">
        <v>454</v>
      </c>
      <c r="D51" s="30" t="s">
        <v>11</v>
      </c>
      <c r="E51" s="38">
        <v>528</v>
      </c>
      <c r="F51" s="39">
        <f t="shared" si="4"/>
        <v>528</v>
      </c>
      <c r="G51" s="64">
        <v>148.41</v>
      </c>
      <c r="H51" s="33">
        <f t="shared" si="2"/>
        <v>153</v>
      </c>
      <c r="I51" s="34">
        <f t="shared" si="0"/>
        <v>80784</v>
      </c>
      <c r="J51" s="35"/>
      <c r="K51" s="36"/>
      <c r="M51" s="68"/>
      <c r="O51" s="5"/>
      <c r="P51" s="5"/>
      <c r="Q51" s="94"/>
      <c r="R51" s="94"/>
      <c r="S51" s="94">
        <f>2</f>
        <v>2</v>
      </c>
      <c r="T51" s="94">
        <v>2</v>
      </c>
      <c r="U51" s="89">
        <v>4</v>
      </c>
      <c r="V51" s="89">
        <v>2</v>
      </c>
      <c r="W51" s="89">
        <v>1</v>
      </c>
      <c r="X51" s="89"/>
      <c r="Y51" s="89">
        <v>2</v>
      </c>
      <c r="Z51" s="89">
        <v>4</v>
      </c>
      <c r="AA51" s="89">
        <v>4</v>
      </c>
      <c r="AB51" s="89"/>
      <c r="AC51" s="89"/>
      <c r="AD51" s="89"/>
      <c r="AE51" s="89">
        <v>2</v>
      </c>
      <c r="AF51" s="89">
        <v>1</v>
      </c>
      <c r="AG51" s="89">
        <v>1</v>
      </c>
      <c r="AH51" s="89"/>
      <c r="AI51" s="89"/>
      <c r="AJ51" s="89"/>
      <c r="AK51" s="89"/>
      <c r="AL51" s="89"/>
      <c r="AM51" s="17">
        <f t="shared" si="3"/>
        <v>25</v>
      </c>
    </row>
    <row r="52" spans="1:39" s="17" customFormat="1" ht="22.5" customHeight="1">
      <c r="A52" s="18">
        <f t="shared" si="1"/>
        <v>34</v>
      </c>
      <c r="B52" s="28" t="s">
        <v>369</v>
      </c>
      <c r="C52" s="29" t="s">
        <v>455</v>
      </c>
      <c r="D52" s="30" t="s">
        <v>11</v>
      </c>
      <c r="E52" s="38">
        <v>341</v>
      </c>
      <c r="F52" s="39">
        <f t="shared" si="4"/>
        <v>341</v>
      </c>
      <c r="G52" s="64">
        <v>102.09</v>
      </c>
      <c r="H52" s="33">
        <f t="shared" si="2"/>
        <v>106</v>
      </c>
      <c r="I52" s="34">
        <f t="shared" si="0"/>
        <v>36146</v>
      </c>
      <c r="J52" s="35"/>
      <c r="K52" s="36"/>
      <c r="M52" s="68"/>
      <c r="O52" s="5"/>
      <c r="P52" s="5"/>
      <c r="Q52" s="94"/>
      <c r="R52" s="94">
        <v>1</v>
      </c>
      <c r="S52" s="94"/>
      <c r="T52" s="94"/>
      <c r="U52" s="89"/>
      <c r="V52" s="89"/>
      <c r="W52" s="89"/>
      <c r="X52" s="89"/>
      <c r="Y52" s="89"/>
      <c r="Z52" s="89"/>
      <c r="AA52" s="89"/>
      <c r="AB52" s="89">
        <v>2</v>
      </c>
      <c r="AC52" s="89">
        <v>3</v>
      </c>
      <c r="AD52" s="89"/>
      <c r="AE52" s="89"/>
      <c r="AF52" s="89"/>
      <c r="AG52" s="89"/>
      <c r="AH52" s="89"/>
      <c r="AI52" s="89"/>
      <c r="AJ52" s="89"/>
      <c r="AK52" s="89"/>
      <c r="AL52" s="89"/>
      <c r="AM52" s="17">
        <f t="shared" si="3"/>
        <v>6</v>
      </c>
    </row>
    <row r="53" spans="1:39" s="17" customFormat="1" ht="22.5" customHeight="1">
      <c r="A53" s="18">
        <f t="shared" si="1"/>
        <v>35</v>
      </c>
      <c r="B53" s="28" t="s">
        <v>370</v>
      </c>
      <c r="C53" s="37" t="s">
        <v>456</v>
      </c>
      <c r="D53" s="30" t="s">
        <v>11</v>
      </c>
      <c r="E53" s="38">
        <v>433</v>
      </c>
      <c r="F53" s="39">
        <f t="shared" si="4"/>
        <v>433</v>
      </c>
      <c r="G53" s="64">
        <v>106.59</v>
      </c>
      <c r="H53" s="33">
        <f t="shared" si="2"/>
        <v>110</v>
      </c>
      <c r="I53" s="34">
        <f t="shared" si="0"/>
        <v>47630</v>
      </c>
      <c r="J53" s="35"/>
      <c r="K53" s="36"/>
      <c r="M53" s="68"/>
      <c r="O53" s="5"/>
      <c r="P53" s="5"/>
      <c r="Q53" s="94"/>
      <c r="R53" s="94"/>
      <c r="S53" s="94"/>
      <c r="T53" s="94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>
        <v>3</v>
      </c>
      <c r="AJ53" s="89"/>
      <c r="AK53" s="89"/>
      <c r="AL53" s="89"/>
      <c r="AM53" s="17">
        <f t="shared" si="3"/>
        <v>3</v>
      </c>
    </row>
    <row r="54" spans="1:39" s="17" customFormat="1" ht="22.5" customHeight="1">
      <c r="A54" s="18">
        <f t="shared" si="1"/>
        <v>36</v>
      </c>
      <c r="B54" s="28" t="s">
        <v>371</v>
      </c>
      <c r="C54" s="37" t="s">
        <v>457</v>
      </c>
      <c r="D54" s="30" t="s">
        <v>11</v>
      </c>
      <c r="E54" s="38">
        <v>1181</v>
      </c>
      <c r="F54" s="39">
        <f t="shared" si="4"/>
        <v>1181</v>
      </c>
      <c r="G54" s="64">
        <v>108.83</v>
      </c>
      <c r="H54" s="33">
        <f t="shared" si="2"/>
        <v>113</v>
      </c>
      <c r="I54" s="34">
        <f t="shared" si="0"/>
        <v>133453</v>
      </c>
      <c r="J54" s="35"/>
      <c r="K54" s="36"/>
      <c r="M54" s="68"/>
      <c r="O54" s="5"/>
      <c r="P54" s="5"/>
      <c r="Q54" s="94"/>
      <c r="R54" s="94"/>
      <c r="S54" s="94"/>
      <c r="T54" s="94"/>
      <c r="U54" s="89"/>
      <c r="V54" s="89"/>
      <c r="W54" s="89"/>
      <c r="X54" s="89"/>
      <c r="Y54" s="89"/>
      <c r="Z54" s="89"/>
      <c r="AA54" s="89"/>
      <c r="AB54" s="89">
        <v>2</v>
      </c>
      <c r="AC54" s="89"/>
      <c r="AD54" s="89"/>
      <c r="AE54" s="89">
        <v>2</v>
      </c>
      <c r="AF54" s="89"/>
      <c r="AG54" s="89"/>
      <c r="AH54" s="89"/>
      <c r="AI54" s="89"/>
      <c r="AJ54" s="89"/>
      <c r="AK54" s="89"/>
      <c r="AL54" s="89"/>
      <c r="AM54" s="17">
        <f t="shared" si="3"/>
        <v>4</v>
      </c>
    </row>
    <row r="55" spans="1:39" s="17" customFormat="1" ht="22.5" customHeight="1">
      <c r="A55" s="18">
        <f t="shared" si="1"/>
        <v>37</v>
      </c>
      <c r="B55" s="28" t="s">
        <v>372</v>
      </c>
      <c r="C55" s="29" t="s">
        <v>458</v>
      </c>
      <c r="D55" s="30" t="s">
        <v>11</v>
      </c>
      <c r="E55" s="38">
        <v>202</v>
      </c>
      <c r="F55" s="39">
        <f t="shared" si="4"/>
        <v>202</v>
      </c>
      <c r="G55" s="64">
        <v>139.93</v>
      </c>
      <c r="H55" s="33">
        <f t="shared" si="2"/>
        <v>145</v>
      </c>
      <c r="I55" s="34">
        <f t="shared" si="0"/>
        <v>29290</v>
      </c>
      <c r="J55" s="35"/>
      <c r="K55" s="36"/>
      <c r="M55" s="68"/>
      <c r="O55" s="5"/>
      <c r="P55" s="5"/>
      <c r="Q55" s="94"/>
      <c r="R55" s="94"/>
      <c r="S55" s="94"/>
      <c r="T55" s="94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17">
        <f t="shared" si="3"/>
        <v>0</v>
      </c>
    </row>
    <row r="56" spans="1:39" s="17" customFormat="1" ht="22.5" customHeight="1">
      <c r="A56" s="18">
        <f t="shared" si="1"/>
        <v>38</v>
      </c>
      <c r="B56" s="28" t="s">
        <v>373</v>
      </c>
      <c r="C56" s="29" t="s">
        <v>459</v>
      </c>
      <c r="D56" s="30" t="s">
        <v>11</v>
      </c>
      <c r="E56" s="38">
        <v>140</v>
      </c>
      <c r="F56" s="39">
        <f t="shared" si="4"/>
        <v>140</v>
      </c>
      <c r="G56" s="64">
        <v>169.61</v>
      </c>
      <c r="H56" s="33">
        <f t="shared" si="2"/>
        <v>175</v>
      </c>
      <c r="I56" s="34">
        <f t="shared" si="0"/>
        <v>24500</v>
      </c>
      <c r="J56" s="35"/>
      <c r="K56" s="36"/>
      <c r="M56" s="68"/>
      <c r="O56" s="5"/>
      <c r="P56" s="5"/>
      <c r="Q56" s="94"/>
      <c r="R56" s="94"/>
      <c r="S56" s="94">
        <f>1</f>
        <v>1</v>
      </c>
      <c r="T56" s="94">
        <v>1</v>
      </c>
      <c r="U56" s="89"/>
      <c r="V56" s="89"/>
      <c r="W56" s="89"/>
      <c r="X56" s="89"/>
      <c r="Y56" s="89"/>
      <c r="Z56" s="89"/>
      <c r="AA56" s="89"/>
      <c r="AB56" s="89">
        <v>2</v>
      </c>
      <c r="AC56" s="89"/>
      <c r="AD56" s="89"/>
      <c r="AE56" s="89"/>
      <c r="AF56" s="89">
        <v>1</v>
      </c>
      <c r="AG56" s="89"/>
      <c r="AH56" s="89"/>
      <c r="AI56" s="89"/>
      <c r="AJ56" s="89"/>
      <c r="AK56" s="89"/>
      <c r="AL56" s="89"/>
      <c r="AM56" s="17">
        <f t="shared" si="3"/>
        <v>5</v>
      </c>
    </row>
    <row r="57" spans="1:39" s="17" customFormat="1" ht="22.5" customHeight="1">
      <c r="A57" s="18">
        <f t="shared" si="1"/>
        <v>39</v>
      </c>
      <c r="B57" s="28" t="s">
        <v>374</v>
      </c>
      <c r="C57" s="29" t="s">
        <v>460</v>
      </c>
      <c r="D57" s="30" t="s">
        <v>11</v>
      </c>
      <c r="E57" s="38">
        <v>132</v>
      </c>
      <c r="F57" s="39">
        <f t="shared" si="4"/>
        <v>132</v>
      </c>
      <c r="G57" s="64">
        <v>211.39</v>
      </c>
      <c r="H57" s="33">
        <f t="shared" si="2"/>
        <v>218</v>
      </c>
      <c r="I57" s="34">
        <f t="shared" si="0"/>
        <v>28776</v>
      </c>
      <c r="J57" s="119"/>
      <c r="K57" s="36"/>
      <c r="M57" s="68"/>
      <c r="O57" s="5"/>
      <c r="P57" s="5"/>
      <c r="Q57" s="94">
        <v>2</v>
      </c>
      <c r="R57" s="94"/>
      <c r="S57" s="94"/>
      <c r="T57" s="94">
        <v>1</v>
      </c>
      <c r="U57" s="89"/>
      <c r="V57" s="89"/>
      <c r="W57" s="89"/>
      <c r="X57" s="89"/>
      <c r="Y57" s="89"/>
      <c r="Z57" s="89"/>
      <c r="AA57" s="89">
        <v>2</v>
      </c>
      <c r="AB57" s="89"/>
      <c r="AC57" s="89"/>
      <c r="AD57" s="89"/>
      <c r="AE57" s="89"/>
      <c r="AF57" s="89">
        <v>1</v>
      </c>
      <c r="AG57" s="89"/>
      <c r="AH57" s="89">
        <v>2</v>
      </c>
      <c r="AI57" s="89"/>
      <c r="AJ57" s="89"/>
      <c r="AK57" s="89"/>
      <c r="AL57" s="89"/>
      <c r="AM57" s="17">
        <f t="shared" si="3"/>
        <v>8</v>
      </c>
    </row>
    <row r="58" spans="1:38" s="17" customFormat="1" ht="22.5" customHeight="1">
      <c r="A58" s="18">
        <f t="shared" si="1"/>
        <v>40</v>
      </c>
      <c r="B58" s="28" t="s">
        <v>375</v>
      </c>
      <c r="C58" s="29" t="s">
        <v>461</v>
      </c>
      <c r="D58" s="30" t="s">
        <v>11</v>
      </c>
      <c r="E58" s="38">
        <v>354</v>
      </c>
      <c r="F58" s="39">
        <f t="shared" si="4"/>
        <v>354</v>
      </c>
      <c r="G58" s="64">
        <v>400</v>
      </c>
      <c r="H58" s="33">
        <f t="shared" si="2"/>
        <v>412</v>
      </c>
      <c r="I58" s="34">
        <f t="shared" si="0"/>
        <v>145848</v>
      </c>
      <c r="J58" s="35"/>
      <c r="K58" s="36"/>
      <c r="M58" s="68"/>
      <c r="O58" s="5"/>
      <c r="P58" s="5"/>
      <c r="Q58" s="94"/>
      <c r="R58" s="94"/>
      <c r="S58" s="94"/>
      <c r="T58" s="108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</row>
    <row r="59" spans="1:38" s="17" customFormat="1" ht="22.5" customHeight="1">
      <c r="A59" s="18">
        <f t="shared" si="1"/>
        <v>41</v>
      </c>
      <c r="B59" s="28" t="s">
        <v>376</v>
      </c>
      <c r="C59" s="29" t="s">
        <v>377</v>
      </c>
      <c r="D59" s="30" t="s">
        <v>12</v>
      </c>
      <c r="E59" s="38">
        <v>1</v>
      </c>
      <c r="F59" s="39">
        <f t="shared" si="4"/>
        <v>1</v>
      </c>
      <c r="G59" s="64">
        <v>2628.57</v>
      </c>
      <c r="H59" s="33">
        <f t="shared" si="2"/>
        <v>2708</v>
      </c>
      <c r="I59" s="34">
        <f t="shared" si="0"/>
        <v>2708</v>
      </c>
      <c r="J59" s="35"/>
      <c r="K59" s="36"/>
      <c r="M59" s="68"/>
      <c r="O59" s="5"/>
      <c r="P59" s="5"/>
      <c r="Q59" s="94"/>
      <c r="R59" s="94"/>
      <c r="S59" s="94"/>
      <c r="T59" s="108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</row>
    <row r="60" spans="1:38" s="17" customFormat="1" ht="22.5" customHeight="1">
      <c r="A60" s="18">
        <f t="shared" si="1"/>
        <v>42</v>
      </c>
      <c r="B60" s="28" t="s">
        <v>462</v>
      </c>
      <c r="C60" s="29" t="s">
        <v>480</v>
      </c>
      <c r="D60" s="30" t="s">
        <v>12</v>
      </c>
      <c r="E60" s="38">
        <v>1</v>
      </c>
      <c r="F60" s="39">
        <f t="shared" si="4"/>
        <v>1</v>
      </c>
      <c r="G60" s="64">
        <v>5500</v>
      </c>
      <c r="H60" s="33">
        <f t="shared" si="2"/>
        <v>5665</v>
      </c>
      <c r="I60" s="34">
        <f t="shared" si="0"/>
        <v>5665</v>
      </c>
      <c r="J60" s="35"/>
      <c r="K60" s="36"/>
      <c r="M60" s="68"/>
      <c r="O60" s="5"/>
      <c r="P60" s="5"/>
      <c r="Q60" s="94"/>
      <c r="R60" s="94"/>
      <c r="S60" s="94"/>
      <c r="T60" s="108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</row>
    <row r="61" spans="1:38" s="17" customFormat="1" ht="22.5" customHeight="1">
      <c r="A61" s="18">
        <f t="shared" si="1"/>
        <v>43</v>
      </c>
      <c r="B61" s="28" t="s">
        <v>463</v>
      </c>
      <c r="C61" s="29" t="s">
        <v>481</v>
      </c>
      <c r="D61" s="30" t="s">
        <v>12</v>
      </c>
      <c r="E61" s="38">
        <v>1</v>
      </c>
      <c r="F61" s="39">
        <f t="shared" si="4"/>
        <v>1</v>
      </c>
      <c r="G61" s="64">
        <v>5000</v>
      </c>
      <c r="H61" s="33">
        <f t="shared" si="2"/>
        <v>5150</v>
      </c>
      <c r="I61" s="34">
        <f t="shared" si="0"/>
        <v>5150</v>
      </c>
      <c r="J61" s="35"/>
      <c r="K61" s="36"/>
      <c r="M61" s="68"/>
      <c r="O61" s="5"/>
      <c r="P61" s="5"/>
      <c r="Q61" s="94"/>
      <c r="R61" s="94"/>
      <c r="S61" s="94"/>
      <c r="T61" s="108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</row>
    <row r="62" spans="1:38" s="17" customFormat="1" ht="22.5" customHeight="1">
      <c r="A62" s="18">
        <f t="shared" si="1"/>
        <v>44</v>
      </c>
      <c r="B62" s="28" t="s">
        <v>464</v>
      </c>
      <c r="C62" s="29" t="s">
        <v>482</v>
      </c>
      <c r="D62" s="30" t="s">
        <v>12</v>
      </c>
      <c r="E62" s="38">
        <v>1</v>
      </c>
      <c r="F62" s="39">
        <f t="shared" si="4"/>
        <v>1</v>
      </c>
      <c r="G62" s="64">
        <v>7100</v>
      </c>
      <c r="H62" s="33">
        <f t="shared" si="2"/>
        <v>7313</v>
      </c>
      <c r="I62" s="34">
        <f t="shared" si="0"/>
        <v>7313</v>
      </c>
      <c r="J62" s="35"/>
      <c r="K62" s="36"/>
      <c r="M62" s="68"/>
      <c r="O62" s="5"/>
      <c r="P62" s="5"/>
      <c r="Q62" s="94"/>
      <c r="R62" s="94"/>
      <c r="S62" s="94"/>
      <c r="T62" s="108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</row>
    <row r="63" spans="1:38" s="17" customFormat="1" ht="22.5" customHeight="1">
      <c r="A63" s="18">
        <f t="shared" si="1"/>
        <v>45</v>
      </c>
      <c r="B63" s="28" t="s">
        <v>465</v>
      </c>
      <c r="C63" s="37" t="s">
        <v>483</v>
      </c>
      <c r="D63" s="30" t="s">
        <v>12</v>
      </c>
      <c r="E63" s="38">
        <v>2</v>
      </c>
      <c r="F63" s="39">
        <f t="shared" si="4"/>
        <v>2</v>
      </c>
      <c r="G63" s="64">
        <v>4100</v>
      </c>
      <c r="H63" s="33">
        <f t="shared" si="2"/>
        <v>4223</v>
      </c>
      <c r="I63" s="34">
        <f t="shared" si="0"/>
        <v>8446</v>
      </c>
      <c r="J63" s="35"/>
      <c r="K63" s="36"/>
      <c r="M63" s="68"/>
      <c r="O63" s="5"/>
      <c r="P63" s="5"/>
      <c r="Q63" s="94"/>
      <c r="R63" s="94"/>
      <c r="S63" s="94"/>
      <c r="T63" s="108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</row>
    <row r="64" spans="1:39" s="17" customFormat="1" ht="22.5" customHeight="1">
      <c r="A64" s="18">
        <f t="shared" si="1"/>
        <v>46</v>
      </c>
      <c r="B64" s="28" t="s">
        <v>466</v>
      </c>
      <c r="C64" s="37" t="s">
        <v>484</v>
      </c>
      <c r="D64" s="30" t="s">
        <v>12</v>
      </c>
      <c r="E64" s="38">
        <v>1</v>
      </c>
      <c r="F64" s="39">
        <f t="shared" si="4"/>
        <v>1</v>
      </c>
      <c r="G64" s="64">
        <v>5053</v>
      </c>
      <c r="H64" s="33">
        <f t="shared" si="2"/>
        <v>5205</v>
      </c>
      <c r="I64" s="34">
        <f t="shared" si="0"/>
        <v>5205</v>
      </c>
      <c r="J64" s="35"/>
      <c r="K64" s="36"/>
      <c r="M64" s="68"/>
      <c r="O64" s="5"/>
      <c r="P64" s="5"/>
      <c r="Q64" s="94"/>
      <c r="R64" s="94"/>
      <c r="S64" s="94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17">
        <f t="shared" si="3"/>
        <v>0</v>
      </c>
    </row>
    <row r="65" spans="1:39" s="17" customFormat="1" ht="22.5" customHeight="1">
      <c r="A65" s="18">
        <f t="shared" si="1"/>
        <v>47</v>
      </c>
      <c r="B65" s="28" t="s">
        <v>467</v>
      </c>
      <c r="C65" s="29" t="s">
        <v>485</v>
      </c>
      <c r="D65" s="30" t="s">
        <v>12</v>
      </c>
      <c r="E65" s="38">
        <v>1</v>
      </c>
      <c r="F65" s="39">
        <f t="shared" si="4"/>
        <v>1</v>
      </c>
      <c r="G65" s="64">
        <v>5150</v>
      </c>
      <c r="H65" s="33">
        <f>_xlfn.CEILING.MATH(G65*(1+$K$9),1)</f>
        <v>5305</v>
      </c>
      <c r="I65" s="34">
        <f t="shared" si="0"/>
        <v>5305</v>
      </c>
      <c r="J65" s="35"/>
      <c r="K65" s="36"/>
      <c r="M65" s="68"/>
      <c r="O65" s="5"/>
      <c r="P65" s="5"/>
      <c r="Q65" s="94"/>
      <c r="R65" s="94"/>
      <c r="S65" s="94"/>
      <c r="T65" s="94"/>
      <c r="U65" s="89"/>
      <c r="V65" s="89"/>
      <c r="W65" s="89"/>
      <c r="X65" s="89"/>
      <c r="Y65" s="89"/>
      <c r="Z65" s="89"/>
      <c r="AA65" s="89">
        <f>26+62+339</f>
        <v>427</v>
      </c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17">
        <f t="shared" si="3"/>
        <v>427</v>
      </c>
    </row>
    <row r="66" spans="1:39" s="17" customFormat="1" ht="22.5" customHeight="1">
      <c r="A66" s="18">
        <f t="shared" si="1"/>
        <v>48</v>
      </c>
      <c r="B66" s="28" t="s">
        <v>378</v>
      </c>
      <c r="C66" s="29" t="s">
        <v>379</v>
      </c>
      <c r="D66" s="30" t="s">
        <v>12</v>
      </c>
      <c r="E66" s="38">
        <v>1</v>
      </c>
      <c r="F66" s="39">
        <f t="shared" si="4"/>
        <v>1</v>
      </c>
      <c r="G66" s="64">
        <v>1379.47</v>
      </c>
      <c r="H66" s="33">
        <f>_xlfn.CEILING.MATH(G66*(1+$K$9),1)</f>
        <v>1421</v>
      </c>
      <c r="I66" s="34">
        <f t="shared" si="0"/>
        <v>1421</v>
      </c>
      <c r="J66" s="35"/>
      <c r="K66" s="36"/>
      <c r="M66" s="68"/>
      <c r="O66" s="5"/>
      <c r="P66" s="5"/>
      <c r="Q66" s="94"/>
      <c r="R66" s="94"/>
      <c r="S66" s="94"/>
      <c r="T66" s="94"/>
      <c r="U66" s="89"/>
      <c r="V66" s="89"/>
      <c r="W66" s="89"/>
      <c r="X66" s="89"/>
      <c r="Y66" s="89"/>
      <c r="Z66" s="89"/>
      <c r="AA66" s="89">
        <v>7</v>
      </c>
      <c r="AB66" s="89">
        <v>134</v>
      </c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17">
        <f t="shared" si="3"/>
        <v>141</v>
      </c>
    </row>
    <row r="67" spans="1:39" s="17" customFormat="1" ht="22.5" customHeight="1">
      <c r="A67" s="18">
        <f t="shared" si="1"/>
        <v>49</v>
      </c>
      <c r="B67" s="28" t="s">
        <v>353</v>
      </c>
      <c r="C67" s="29" t="s">
        <v>348</v>
      </c>
      <c r="D67" s="30" t="s">
        <v>12</v>
      </c>
      <c r="E67" s="38">
        <v>7</v>
      </c>
      <c r="F67" s="39">
        <f t="shared" si="4"/>
        <v>7</v>
      </c>
      <c r="G67" s="64">
        <v>1628.61</v>
      </c>
      <c r="H67" s="33">
        <f t="shared" si="2"/>
        <v>1678</v>
      </c>
      <c r="I67" s="34">
        <f t="shared" si="0"/>
        <v>11746</v>
      </c>
      <c r="J67" s="35"/>
      <c r="K67" s="36"/>
      <c r="M67" s="68"/>
      <c r="O67" s="5"/>
      <c r="P67" s="5"/>
      <c r="Q67" s="94"/>
      <c r="R67" s="94"/>
      <c r="S67" s="94"/>
      <c r="T67" s="94"/>
      <c r="U67" s="89"/>
      <c r="V67" s="89"/>
      <c r="W67" s="89"/>
      <c r="X67" s="89"/>
      <c r="Y67" s="89"/>
      <c r="Z67" s="89"/>
      <c r="AA67" s="89">
        <v>122</v>
      </c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17">
        <f t="shared" si="3"/>
        <v>122</v>
      </c>
    </row>
    <row r="68" spans="1:39" s="17" customFormat="1" ht="22.5" customHeight="1">
      <c r="A68" s="18">
        <f t="shared" si="1"/>
        <v>50</v>
      </c>
      <c r="B68" s="28" t="s">
        <v>380</v>
      </c>
      <c r="C68" s="29" t="s">
        <v>468</v>
      </c>
      <c r="D68" s="30" t="s">
        <v>12</v>
      </c>
      <c r="E68" s="38">
        <v>5</v>
      </c>
      <c r="F68" s="39">
        <f t="shared" si="4"/>
        <v>5</v>
      </c>
      <c r="G68" s="64">
        <v>1439.45</v>
      </c>
      <c r="H68" s="33">
        <f>_xlfn.CEILING.MATH(G68*(1+$K$9),1)</f>
        <v>1483</v>
      </c>
      <c r="I68" s="34">
        <f t="shared" si="0"/>
        <v>7415</v>
      </c>
      <c r="J68" s="35"/>
      <c r="K68" s="36"/>
      <c r="M68" s="68"/>
      <c r="O68" s="5"/>
      <c r="P68" s="5"/>
      <c r="Q68" s="94"/>
      <c r="R68" s="94"/>
      <c r="S68" s="94"/>
      <c r="T68" s="94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>
        <f>120+10</f>
        <v>130</v>
      </c>
      <c r="AG68" s="89"/>
      <c r="AH68" s="89"/>
      <c r="AI68" s="89"/>
      <c r="AJ68" s="89"/>
      <c r="AK68" s="89"/>
      <c r="AL68" s="89"/>
      <c r="AM68" s="17">
        <f t="shared" si="3"/>
        <v>130</v>
      </c>
    </row>
    <row r="69" spans="1:39" s="17" customFormat="1" ht="22.5" customHeight="1">
      <c r="A69" s="18">
        <f t="shared" si="1"/>
        <v>51</v>
      </c>
      <c r="B69" s="28" t="s">
        <v>381</v>
      </c>
      <c r="C69" s="29" t="s">
        <v>469</v>
      </c>
      <c r="D69" s="30" t="s">
        <v>12</v>
      </c>
      <c r="E69" s="38">
        <v>1</v>
      </c>
      <c r="F69" s="39">
        <f t="shared" si="4"/>
        <v>1</v>
      </c>
      <c r="G69" s="64">
        <v>2449.99</v>
      </c>
      <c r="H69" s="33">
        <f t="shared" si="2"/>
        <v>2524</v>
      </c>
      <c r="I69" s="34">
        <f t="shared" si="0"/>
        <v>2524</v>
      </c>
      <c r="J69" s="35"/>
      <c r="K69" s="36"/>
      <c r="M69" s="68"/>
      <c r="O69" s="5"/>
      <c r="P69" s="5"/>
      <c r="Q69" s="94"/>
      <c r="R69" s="94">
        <v>102</v>
      </c>
      <c r="S69" s="94">
        <f>(93+90)</f>
        <v>183</v>
      </c>
      <c r="T69" s="94">
        <f>90+90+198+12+6+73+35</f>
        <v>504</v>
      </c>
      <c r="U69" s="89">
        <f>12+102+6+12+5</f>
        <v>137</v>
      </c>
      <c r="V69" s="89">
        <f>95+102+12+102+126+12</f>
        <v>449</v>
      </c>
      <c r="W69" s="89">
        <f>12+66+102+102+102</f>
        <v>384</v>
      </c>
      <c r="X69" s="89">
        <f>99+110+221</f>
        <v>430</v>
      </c>
      <c r="Y69" s="89">
        <f>12+6</f>
        <v>18</v>
      </c>
      <c r="Z69" s="89">
        <f>87+102+6+6+12+177</f>
        <v>390</v>
      </c>
      <c r="AA69" s="89">
        <f>99+86+20+102+6+102</f>
        <v>415</v>
      </c>
      <c r="AB69" s="89">
        <f>102+102</f>
        <v>204</v>
      </c>
      <c r="AC69" s="89">
        <v>102</v>
      </c>
      <c r="AD69" s="89">
        <f>102+114</f>
        <v>216</v>
      </c>
      <c r="AE69" s="89">
        <f>116+102</f>
        <v>218</v>
      </c>
      <c r="AF69" s="89">
        <f>102+284</f>
        <v>386</v>
      </c>
      <c r="AG69" s="89"/>
      <c r="AH69" s="89"/>
      <c r="AI69" s="89"/>
      <c r="AJ69" s="89"/>
      <c r="AK69" s="89"/>
      <c r="AL69" s="89"/>
      <c r="AM69" s="17">
        <f t="shared" si="3"/>
        <v>4138</v>
      </c>
    </row>
    <row r="70" spans="1:39" s="17" customFormat="1" ht="22.5" customHeight="1">
      <c r="A70" s="18">
        <f t="shared" si="1"/>
        <v>52</v>
      </c>
      <c r="B70" s="28" t="s">
        <v>382</v>
      </c>
      <c r="C70" s="29" t="s">
        <v>470</v>
      </c>
      <c r="D70" s="30" t="s">
        <v>12</v>
      </c>
      <c r="E70" s="38">
        <v>1</v>
      </c>
      <c r="F70" s="39">
        <f t="shared" si="4"/>
        <v>1</v>
      </c>
      <c r="G70" s="64">
        <v>3694.36</v>
      </c>
      <c r="H70" s="33">
        <f t="shared" si="2"/>
        <v>3806</v>
      </c>
      <c r="I70" s="34">
        <f t="shared" si="0"/>
        <v>3806</v>
      </c>
      <c r="J70" s="35"/>
      <c r="K70" s="36"/>
      <c r="M70" s="68"/>
      <c r="O70" s="5"/>
      <c r="P70" s="5"/>
      <c r="Q70" s="94">
        <v>220</v>
      </c>
      <c r="R70" s="94"/>
      <c r="S70" s="94"/>
      <c r="T70" s="94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17">
        <f t="shared" si="3"/>
        <v>220</v>
      </c>
    </row>
    <row r="71" spans="1:38" s="17" customFormat="1" ht="22.5" customHeight="1">
      <c r="A71" s="18">
        <f t="shared" si="1"/>
        <v>53</v>
      </c>
      <c r="B71" s="28" t="s">
        <v>383</v>
      </c>
      <c r="C71" s="29" t="s">
        <v>471</v>
      </c>
      <c r="D71" s="30" t="s">
        <v>12</v>
      </c>
      <c r="E71" s="38">
        <v>1</v>
      </c>
      <c r="F71" s="39">
        <f aca="true" t="shared" si="5" ref="F71:F82">E71</f>
        <v>1</v>
      </c>
      <c r="G71" s="64">
        <v>7000</v>
      </c>
      <c r="H71" s="33">
        <f aca="true" t="shared" si="6" ref="H71:H82">_xlfn.CEILING.MATH(G71*(1+$K$9),1)</f>
        <v>7210</v>
      </c>
      <c r="I71" s="34">
        <f t="shared" si="0"/>
        <v>7210</v>
      </c>
      <c r="J71" s="35"/>
      <c r="K71" s="36"/>
      <c r="M71" s="68"/>
      <c r="O71" s="5"/>
      <c r="P71" s="5"/>
      <c r="Q71" s="94"/>
      <c r="R71" s="94"/>
      <c r="S71" s="94"/>
      <c r="T71" s="94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</row>
    <row r="72" spans="1:38" s="17" customFormat="1" ht="22.5" customHeight="1">
      <c r="A72" s="18">
        <f t="shared" si="1"/>
        <v>54</v>
      </c>
      <c r="B72" s="28" t="s">
        <v>59</v>
      </c>
      <c r="C72" s="29" t="s">
        <v>60</v>
      </c>
      <c r="D72" s="30" t="s">
        <v>11</v>
      </c>
      <c r="E72" s="38">
        <v>270</v>
      </c>
      <c r="F72" s="39">
        <f t="shared" si="5"/>
        <v>270</v>
      </c>
      <c r="G72" s="64">
        <v>67.63</v>
      </c>
      <c r="H72" s="33">
        <f t="shared" si="6"/>
        <v>70</v>
      </c>
      <c r="I72" s="34">
        <f t="shared" si="0"/>
        <v>18900</v>
      </c>
      <c r="J72" s="35"/>
      <c r="K72" s="36"/>
      <c r="M72" s="68"/>
      <c r="O72" s="5"/>
      <c r="P72" s="5"/>
      <c r="Q72" s="94"/>
      <c r="R72" s="94"/>
      <c r="S72" s="94"/>
      <c r="T72" s="94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</row>
    <row r="73" spans="1:38" s="17" customFormat="1" ht="22.5" customHeight="1">
      <c r="A73" s="18">
        <f t="shared" si="1"/>
        <v>55</v>
      </c>
      <c r="B73" s="28" t="s">
        <v>33</v>
      </c>
      <c r="C73" s="29" t="s">
        <v>47</v>
      </c>
      <c r="D73" s="30" t="s">
        <v>11</v>
      </c>
      <c r="E73" s="38">
        <v>45218</v>
      </c>
      <c r="F73" s="39">
        <f t="shared" si="5"/>
        <v>45218</v>
      </c>
      <c r="G73" s="64">
        <v>20.36</v>
      </c>
      <c r="H73" s="33">
        <f t="shared" si="6"/>
        <v>21</v>
      </c>
      <c r="I73" s="34">
        <f t="shared" si="0"/>
        <v>949578</v>
      </c>
      <c r="J73" s="35"/>
      <c r="K73" s="36"/>
      <c r="M73" s="68"/>
      <c r="O73" s="5"/>
      <c r="P73" s="5"/>
      <c r="Q73" s="94"/>
      <c r="R73" s="94"/>
      <c r="S73" s="94"/>
      <c r="T73" s="94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</row>
    <row r="74" spans="1:38" s="17" customFormat="1" ht="22.5" customHeight="1">
      <c r="A74" s="18">
        <f t="shared" si="1"/>
        <v>56</v>
      </c>
      <c r="B74" s="28" t="s">
        <v>472</v>
      </c>
      <c r="C74" s="29" t="s">
        <v>473</v>
      </c>
      <c r="D74" s="30" t="s">
        <v>11</v>
      </c>
      <c r="E74" s="38">
        <v>147</v>
      </c>
      <c r="F74" s="39">
        <f t="shared" si="5"/>
        <v>147</v>
      </c>
      <c r="G74" s="64">
        <v>20</v>
      </c>
      <c r="H74" s="33">
        <f t="shared" si="6"/>
        <v>21</v>
      </c>
      <c r="I74" s="34">
        <f t="shared" si="0"/>
        <v>3087</v>
      </c>
      <c r="J74" s="35"/>
      <c r="K74" s="36"/>
      <c r="M74" s="68"/>
      <c r="O74" s="5"/>
      <c r="P74" s="5"/>
      <c r="Q74" s="94"/>
      <c r="R74" s="94"/>
      <c r="S74" s="94"/>
      <c r="T74" s="94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</row>
    <row r="75" spans="1:38" s="17" customFormat="1" ht="22.5" customHeight="1">
      <c r="A75" s="18">
        <f t="shared" si="1"/>
        <v>57</v>
      </c>
      <c r="B75" s="28">
        <v>201.3</v>
      </c>
      <c r="C75" s="29" t="s">
        <v>474</v>
      </c>
      <c r="D75" s="30" t="s">
        <v>11</v>
      </c>
      <c r="E75" s="38">
        <v>337</v>
      </c>
      <c r="F75" s="39">
        <f t="shared" si="5"/>
        <v>337</v>
      </c>
      <c r="G75" s="64">
        <v>20</v>
      </c>
      <c r="H75" s="33">
        <f t="shared" si="6"/>
        <v>21</v>
      </c>
      <c r="I75" s="34">
        <f t="shared" si="0"/>
        <v>7077</v>
      </c>
      <c r="J75" s="35"/>
      <c r="K75" s="36"/>
      <c r="M75" s="68"/>
      <c r="O75" s="5"/>
      <c r="P75" s="5"/>
      <c r="Q75" s="94"/>
      <c r="R75" s="94"/>
      <c r="S75" s="94"/>
      <c r="T75" s="94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</row>
    <row r="76" spans="1:38" s="17" customFormat="1" ht="22.5" customHeight="1">
      <c r="A76" s="18">
        <f t="shared" si="1"/>
        <v>58</v>
      </c>
      <c r="B76" s="28" t="s">
        <v>29</v>
      </c>
      <c r="C76" s="29" t="s">
        <v>50</v>
      </c>
      <c r="D76" s="30" t="s">
        <v>30</v>
      </c>
      <c r="E76" s="38">
        <v>800</v>
      </c>
      <c r="F76" s="39">
        <f t="shared" si="5"/>
        <v>800</v>
      </c>
      <c r="G76" s="64">
        <v>26.95</v>
      </c>
      <c r="H76" s="33">
        <f t="shared" si="6"/>
        <v>28</v>
      </c>
      <c r="I76" s="34">
        <f t="shared" si="0"/>
        <v>22400</v>
      </c>
      <c r="J76" s="35"/>
      <c r="K76" s="36"/>
      <c r="M76" s="68"/>
      <c r="O76" s="5"/>
      <c r="P76" s="5"/>
      <c r="Q76" s="94"/>
      <c r="R76" s="94"/>
      <c r="S76" s="94"/>
      <c r="T76" s="94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</row>
    <row r="77" spans="1:38" s="17" customFormat="1" ht="22.5" customHeight="1">
      <c r="A77" s="18">
        <f t="shared" si="1"/>
        <v>59</v>
      </c>
      <c r="B77" s="28" t="s">
        <v>139</v>
      </c>
      <c r="C77" s="29" t="s">
        <v>140</v>
      </c>
      <c r="D77" s="30" t="s">
        <v>11</v>
      </c>
      <c r="E77" s="38">
        <v>2500</v>
      </c>
      <c r="F77" s="39">
        <f t="shared" si="5"/>
        <v>2500</v>
      </c>
      <c r="G77" s="64">
        <v>15.18</v>
      </c>
      <c r="H77" s="33">
        <f t="shared" si="6"/>
        <v>16</v>
      </c>
      <c r="I77" s="34">
        <f t="shared" si="0"/>
        <v>40000</v>
      </c>
      <c r="J77" s="35"/>
      <c r="K77" s="36"/>
      <c r="M77" s="68"/>
      <c r="O77" s="5"/>
      <c r="P77" s="5"/>
      <c r="Q77" s="94"/>
      <c r="R77" s="94"/>
      <c r="S77" s="94"/>
      <c r="T77" s="94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</row>
    <row r="78" spans="1:38" s="17" customFormat="1" ht="22.5" customHeight="1">
      <c r="A78" s="18">
        <f t="shared" si="1"/>
        <v>60</v>
      </c>
      <c r="B78" s="28" t="s">
        <v>28</v>
      </c>
      <c r="C78" s="29" t="s">
        <v>48</v>
      </c>
      <c r="D78" s="30" t="s">
        <v>10</v>
      </c>
      <c r="E78" s="38">
        <v>18569.9</v>
      </c>
      <c r="F78" s="39">
        <f t="shared" si="5"/>
        <v>18569.9</v>
      </c>
      <c r="G78" s="64">
        <v>32</v>
      </c>
      <c r="H78" s="33">
        <f t="shared" si="6"/>
        <v>33</v>
      </c>
      <c r="I78" s="34">
        <f t="shared" si="0"/>
        <v>612807</v>
      </c>
      <c r="J78" s="35"/>
      <c r="K78" s="36"/>
      <c r="M78" s="68"/>
      <c r="O78" s="5"/>
      <c r="P78" s="5"/>
      <c r="Q78" s="94"/>
      <c r="R78" s="94"/>
      <c r="S78" s="94"/>
      <c r="T78" s="94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</row>
    <row r="79" spans="1:38" s="17" customFormat="1" ht="22.5" customHeight="1">
      <c r="A79" s="18">
        <f t="shared" si="1"/>
        <v>61</v>
      </c>
      <c r="B79" s="28" t="s">
        <v>25</v>
      </c>
      <c r="C79" s="29" t="s">
        <v>49</v>
      </c>
      <c r="D79" s="30" t="s">
        <v>10</v>
      </c>
      <c r="E79" s="38">
        <v>224.6</v>
      </c>
      <c r="F79" s="39">
        <f t="shared" si="5"/>
        <v>224.6</v>
      </c>
      <c r="G79" s="64">
        <v>56.21</v>
      </c>
      <c r="H79" s="33">
        <f t="shared" si="6"/>
        <v>58</v>
      </c>
      <c r="I79" s="34">
        <f t="shared" si="0"/>
        <v>13027</v>
      </c>
      <c r="J79" s="35"/>
      <c r="K79" s="36"/>
      <c r="M79" s="68"/>
      <c r="O79" s="5"/>
      <c r="P79" s="5"/>
      <c r="Q79" s="94"/>
      <c r="R79" s="94"/>
      <c r="S79" s="94"/>
      <c r="T79" s="94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</row>
    <row r="80" spans="1:39" s="17" customFormat="1" ht="22.5" customHeight="1">
      <c r="A80" s="18">
        <f t="shared" si="1"/>
        <v>62</v>
      </c>
      <c r="B80" s="28" t="s">
        <v>26</v>
      </c>
      <c r="C80" s="29" t="s">
        <v>51</v>
      </c>
      <c r="D80" s="30" t="s">
        <v>10</v>
      </c>
      <c r="E80" s="38">
        <v>81249.1</v>
      </c>
      <c r="F80" s="39">
        <f t="shared" si="5"/>
        <v>81249.1</v>
      </c>
      <c r="G80" s="64">
        <v>2.42</v>
      </c>
      <c r="H80" s="33">
        <f t="shared" si="6"/>
        <v>3</v>
      </c>
      <c r="I80" s="34">
        <f t="shared" si="0"/>
        <v>243748</v>
      </c>
      <c r="J80" s="35"/>
      <c r="K80" s="36"/>
      <c r="M80" s="68"/>
      <c r="O80" s="5"/>
      <c r="P80" s="5"/>
      <c r="Q80" s="94"/>
      <c r="R80" s="94"/>
      <c r="S80" s="94"/>
      <c r="T80" s="94"/>
      <c r="U80" s="89"/>
      <c r="V80" s="89"/>
      <c r="W80" s="89"/>
      <c r="X80" s="89"/>
      <c r="Y80" s="89"/>
      <c r="Z80" s="89"/>
      <c r="AA80" s="89">
        <v>2</v>
      </c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17">
        <f t="shared" si="3"/>
        <v>2</v>
      </c>
    </row>
    <row r="81" spans="1:38" s="17" customFormat="1" ht="22.5" customHeight="1">
      <c r="A81" s="18">
        <f t="shared" si="1"/>
        <v>63</v>
      </c>
      <c r="B81" s="28" t="s">
        <v>475</v>
      </c>
      <c r="C81" s="29" t="s">
        <v>476</v>
      </c>
      <c r="D81" s="30" t="s">
        <v>11</v>
      </c>
      <c r="E81" s="38">
        <v>257.9</v>
      </c>
      <c r="F81" s="39">
        <f t="shared" si="5"/>
        <v>257.9</v>
      </c>
      <c r="G81" s="64">
        <v>18.44</v>
      </c>
      <c r="H81" s="33">
        <f t="shared" si="6"/>
        <v>19</v>
      </c>
      <c r="I81" s="34">
        <f t="shared" si="0"/>
        <v>4901</v>
      </c>
      <c r="J81" s="35"/>
      <c r="K81" s="36"/>
      <c r="M81" s="68"/>
      <c r="O81" s="5"/>
      <c r="P81" s="5"/>
      <c r="Q81" s="94"/>
      <c r="R81" s="94"/>
      <c r="S81" s="94"/>
      <c r="T81" s="94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</row>
    <row r="82" spans="1:38" s="17" customFormat="1" ht="22.5" customHeight="1">
      <c r="A82" s="18">
        <f t="shared" si="1"/>
        <v>64</v>
      </c>
      <c r="B82" s="28" t="s">
        <v>478</v>
      </c>
      <c r="C82" s="29" t="s">
        <v>479</v>
      </c>
      <c r="D82" s="30" t="s">
        <v>12</v>
      </c>
      <c r="E82" s="38">
        <v>2</v>
      </c>
      <c r="F82" s="39">
        <f t="shared" si="5"/>
        <v>2</v>
      </c>
      <c r="G82" s="64">
        <v>954.86</v>
      </c>
      <c r="H82" s="33">
        <f t="shared" si="6"/>
        <v>984</v>
      </c>
      <c r="I82" s="34">
        <f t="shared" si="0"/>
        <v>1968</v>
      </c>
      <c r="J82" s="109"/>
      <c r="K82" s="110"/>
      <c r="M82" s="68"/>
      <c r="O82" s="5"/>
      <c r="P82" s="5"/>
      <c r="Q82" s="108"/>
      <c r="R82" s="108"/>
      <c r="S82" s="108"/>
      <c r="T82" s="108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s="17" customFormat="1" ht="22.5" customHeight="1" thickBot="1">
      <c r="A83" s="18">
        <f t="shared" si="1"/>
        <v>65</v>
      </c>
      <c r="B83" s="28"/>
      <c r="C83" s="29" t="s">
        <v>477</v>
      </c>
      <c r="D83" s="30" t="s">
        <v>9</v>
      </c>
      <c r="E83" s="38">
        <v>1</v>
      </c>
      <c r="F83" s="39">
        <f>E83</f>
        <v>1</v>
      </c>
      <c r="G83" s="64">
        <v>41966</v>
      </c>
      <c r="H83" s="33">
        <f>G83</f>
        <v>41966</v>
      </c>
      <c r="I83" s="34">
        <f>ROUNDUP(F83*H83,0)</f>
        <v>41966</v>
      </c>
      <c r="J83" s="109"/>
      <c r="K83" s="110"/>
      <c r="M83" s="68"/>
      <c r="O83" s="5"/>
      <c r="P83" s="5"/>
      <c r="Q83" s="108"/>
      <c r="R83" s="108"/>
      <c r="S83" s="108"/>
      <c r="T83" s="108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16" ht="23.25" customHeight="1" thickBot="1" thickTop="1">
      <c r="A84" s="59"/>
      <c r="B84" s="60"/>
      <c r="C84" s="60"/>
      <c r="D84" s="60"/>
      <c r="E84" s="60"/>
      <c r="F84" s="101"/>
      <c r="G84" s="60"/>
      <c r="H84" s="62" t="s">
        <v>52</v>
      </c>
      <c r="I84" s="61">
        <f>SUM(I19:I81)</f>
        <v>14508370</v>
      </c>
      <c r="J84" s="15"/>
      <c r="K84" s="15"/>
      <c r="M84" s="41"/>
      <c r="N84" s="45"/>
      <c r="O84" s="17"/>
      <c r="P84" s="11"/>
    </row>
    <row r="85" spans="1:16" ht="23.25" customHeight="1" thickBot="1" thickTop="1">
      <c r="A85" s="342" t="s">
        <v>384</v>
      </c>
      <c r="B85" s="343"/>
      <c r="C85" s="343"/>
      <c r="D85" s="343"/>
      <c r="E85" s="343"/>
      <c r="F85" s="343"/>
      <c r="G85" s="343"/>
      <c r="H85" s="343"/>
      <c r="I85" s="344"/>
      <c r="J85" s="15"/>
      <c r="K85" s="15"/>
      <c r="M85" s="16"/>
      <c r="N85" s="16"/>
      <c r="O85" s="17"/>
      <c r="P85" s="11"/>
    </row>
    <row r="86" spans="1:14" s="17" customFormat="1" ht="22.5" customHeight="1" thickBot="1" thickTop="1">
      <c r="A86" s="348" t="s">
        <v>385</v>
      </c>
      <c r="B86" s="349"/>
      <c r="C86" s="349"/>
      <c r="D86" s="349"/>
      <c r="E86" s="349"/>
      <c r="F86" s="349"/>
      <c r="G86" s="349"/>
      <c r="H86" s="349"/>
      <c r="I86" s="350"/>
      <c r="J86" s="109"/>
      <c r="K86" s="110"/>
      <c r="M86" s="68"/>
      <c r="N86" s="84"/>
    </row>
    <row r="87" spans="1:14" s="17" customFormat="1" ht="22.5" customHeight="1" thickTop="1">
      <c r="A87" s="18">
        <f>A81+1</f>
        <v>64</v>
      </c>
      <c r="B87" s="28" t="s">
        <v>41</v>
      </c>
      <c r="C87" s="37" t="s">
        <v>46</v>
      </c>
      <c r="D87" s="30" t="s">
        <v>10</v>
      </c>
      <c r="E87" s="39">
        <v>20318</v>
      </c>
      <c r="F87" s="39">
        <f>E87</f>
        <v>20318</v>
      </c>
      <c r="G87" s="64">
        <v>4.09</v>
      </c>
      <c r="H87" s="33">
        <f>_xlfn.CEILING.MATH(G87*(1+$K$9),1)</f>
        <v>5</v>
      </c>
      <c r="I87" s="34">
        <f>ROUNDUP(F87*H87,0)</f>
        <v>101590</v>
      </c>
      <c r="J87" s="109"/>
      <c r="K87" s="110"/>
      <c r="M87" s="68"/>
      <c r="N87" s="84"/>
    </row>
    <row r="88" spans="1:14" s="17" customFormat="1" ht="22.5" customHeight="1">
      <c r="A88" s="18">
        <f>A87+1</f>
        <v>65</v>
      </c>
      <c r="B88" s="28" t="s">
        <v>91</v>
      </c>
      <c r="C88" s="37" t="s">
        <v>89</v>
      </c>
      <c r="D88" s="30" t="s">
        <v>10</v>
      </c>
      <c r="E88" s="39">
        <v>12885</v>
      </c>
      <c r="F88" s="39">
        <f>E88</f>
        <v>12885</v>
      </c>
      <c r="G88" s="64">
        <v>9.83</v>
      </c>
      <c r="H88" s="33">
        <f>_xlfn.CEILING.MATH(G88*(1+$K$9),1)</f>
        <v>11</v>
      </c>
      <c r="I88" s="34">
        <f>ROUNDUP(F88*H88,0)</f>
        <v>141735</v>
      </c>
      <c r="J88" s="109"/>
      <c r="K88" s="110"/>
      <c r="M88" s="68"/>
      <c r="N88" s="84"/>
    </row>
    <row r="89" spans="1:14" s="17" customFormat="1" ht="22.5" customHeight="1" thickBot="1">
      <c r="A89" s="18">
        <f>A88+1</f>
        <v>66</v>
      </c>
      <c r="B89" s="28" t="s">
        <v>97</v>
      </c>
      <c r="C89" s="29" t="s">
        <v>96</v>
      </c>
      <c r="D89" s="30" t="s">
        <v>27</v>
      </c>
      <c r="E89" s="39">
        <v>1063.94</v>
      </c>
      <c r="F89" s="39">
        <v>0</v>
      </c>
      <c r="G89" s="64">
        <v>210.19</v>
      </c>
      <c r="H89" s="33">
        <f>_xlfn.CEILING.MATH(G89*(1+$K$9),1)</f>
        <v>217</v>
      </c>
      <c r="I89" s="111">
        <f>ROUNDUP(F89*H89,0)</f>
        <v>0</v>
      </c>
      <c r="J89" s="109"/>
      <c r="K89" s="110"/>
      <c r="M89" s="68"/>
      <c r="N89" s="84"/>
    </row>
    <row r="90" spans="1:14" s="17" customFormat="1" ht="22.5" customHeight="1" thickBot="1" thickTop="1">
      <c r="A90" s="351" t="s">
        <v>386</v>
      </c>
      <c r="B90" s="352"/>
      <c r="C90" s="352"/>
      <c r="D90" s="352"/>
      <c r="E90" s="352"/>
      <c r="F90" s="352"/>
      <c r="G90" s="352"/>
      <c r="H90" s="353"/>
      <c r="I90" s="112">
        <f>SUM(I87:I89)</f>
        <v>243325</v>
      </c>
      <c r="J90" s="109"/>
      <c r="K90" s="110"/>
      <c r="M90" s="68"/>
      <c r="N90" s="84"/>
    </row>
    <row r="91" spans="1:14" s="17" customFormat="1" ht="22.5" customHeight="1" thickBot="1" thickTop="1">
      <c r="A91" s="348" t="s">
        <v>387</v>
      </c>
      <c r="B91" s="349"/>
      <c r="C91" s="349"/>
      <c r="D91" s="349"/>
      <c r="E91" s="349"/>
      <c r="F91" s="349"/>
      <c r="G91" s="349"/>
      <c r="H91" s="349"/>
      <c r="I91" s="350"/>
      <c r="J91" s="109"/>
      <c r="K91" s="110"/>
      <c r="M91" s="68"/>
      <c r="N91" s="84"/>
    </row>
    <row r="92" spans="1:14" s="17" customFormat="1" ht="22.5" customHeight="1" thickTop="1">
      <c r="A92" s="18">
        <f>A89+1</f>
        <v>67</v>
      </c>
      <c r="B92" s="28" t="s">
        <v>41</v>
      </c>
      <c r="C92" s="37" t="s">
        <v>46</v>
      </c>
      <c r="D92" s="30" t="s">
        <v>10</v>
      </c>
      <c r="E92" s="39">
        <v>20318</v>
      </c>
      <c r="F92" s="39">
        <f>E92</f>
        <v>20318</v>
      </c>
      <c r="G92" s="64">
        <v>4.09</v>
      </c>
      <c r="H92" s="33">
        <f>_xlfn.CEILING.MATH(G92*(1+$K$9),1)</f>
        <v>5</v>
      </c>
      <c r="I92" s="34">
        <f>ROUNDUP(F92*H92,0)</f>
        <v>101590</v>
      </c>
      <c r="J92" s="109"/>
      <c r="K92" s="110"/>
      <c r="M92" s="68"/>
      <c r="N92" s="84"/>
    </row>
    <row r="93" spans="1:14" s="17" customFormat="1" ht="22.5" customHeight="1" thickBot="1">
      <c r="A93" s="18">
        <f>A92+1</f>
        <v>68</v>
      </c>
      <c r="B93" s="28" t="s">
        <v>25</v>
      </c>
      <c r="C93" s="29" t="s">
        <v>49</v>
      </c>
      <c r="D93" s="30" t="s">
        <v>10</v>
      </c>
      <c r="E93" s="39">
        <v>12885</v>
      </c>
      <c r="F93" s="39">
        <f>E93</f>
        <v>12885</v>
      </c>
      <c r="G93" s="64">
        <v>56.21</v>
      </c>
      <c r="H93" s="33">
        <f>_xlfn.CEILING.MATH(G93*(1+$K$9),1)</f>
        <v>58</v>
      </c>
      <c r="I93" s="111">
        <f>ROUNDUP(F93*H93,0)</f>
        <v>747330</v>
      </c>
      <c r="J93" s="109"/>
      <c r="K93" s="110"/>
      <c r="M93" s="68"/>
      <c r="N93" s="84"/>
    </row>
    <row r="94" spans="1:14" s="17" customFormat="1" ht="22.5" customHeight="1" thickBot="1" thickTop="1">
      <c r="A94" s="351" t="s">
        <v>388</v>
      </c>
      <c r="B94" s="352"/>
      <c r="C94" s="352"/>
      <c r="D94" s="352"/>
      <c r="E94" s="352"/>
      <c r="F94" s="352"/>
      <c r="G94" s="352"/>
      <c r="H94" s="353"/>
      <c r="I94" s="112">
        <f>SUM(I92:I93)</f>
        <v>848920</v>
      </c>
      <c r="J94" s="109"/>
      <c r="K94" s="110"/>
      <c r="M94" s="68"/>
      <c r="N94" s="84"/>
    </row>
    <row r="95" spans="1:16" ht="23.25" customHeight="1" thickBot="1" thickTop="1">
      <c r="A95" s="59"/>
      <c r="B95" s="60"/>
      <c r="C95" s="60"/>
      <c r="D95" s="60"/>
      <c r="E95" s="60"/>
      <c r="F95" s="101"/>
      <c r="G95" s="60"/>
      <c r="H95" s="62" t="s">
        <v>389</v>
      </c>
      <c r="I95" s="61">
        <f>MAX(I90,I94)</f>
        <v>848920</v>
      </c>
      <c r="J95" s="15"/>
      <c r="K95" s="15"/>
      <c r="M95" s="41"/>
      <c r="N95" s="45"/>
      <c r="O95" s="17"/>
      <c r="P95" s="11"/>
    </row>
    <row r="96" spans="1:16" ht="23.25" customHeight="1" thickBot="1" thickTop="1">
      <c r="A96" s="342" t="s">
        <v>150</v>
      </c>
      <c r="B96" s="343"/>
      <c r="C96" s="343"/>
      <c r="D96" s="343"/>
      <c r="E96" s="343"/>
      <c r="F96" s="343"/>
      <c r="G96" s="343"/>
      <c r="H96" s="343"/>
      <c r="I96" s="344"/>
      <c r="J96" s="15"/>
      <c r="K96" s="15"/>
      <c r="M96" s="16"/>
      <c r="N96" s="16"/>
      <c r="O96" s="17"/>
      <c r="P96" s="11"/>
    </row>
    <row r="97" spans="1:16" s="17" customFormat="1" ht="23.25" customHeight="1" thickTop="1">
      <c r="A97" s="18">
        <f>A93+1</f>
        <v>69</v>
      </c>
      <c r="B97" s="19" t="s">
        <v>286</v>
      </c>
      <c r="C97" s="20" t="s">
        <v>287</v>
      </c>
      <c r="D97" s="21" t="s">
        <v>34</v>
      </c>
      <c r="E97" s="21">
        <v>81</v>
      </c>
      <c r="F97" s="39">
        <f>E97</f>
        <v>81</v>
      </c>
      <c r="G97" s="86">
        <v>381</v>
      </c>
      <c r="H97" s="33">
        <f aca="true" t="shared" si="7" ref="H97:H124">_xlfn.CEILING.MATH(G97*(1+$K$9),1)</f>
        <v>393</v>
      </c>
      <c r="I97" s="34">
        <f aca="true" t="shared" si="8" ref="I97:I124">ROUNDUP(F97*H97,0)</f>
        <v>31833</v>
      </c>
      <c r="J97" s="35"/>
      <c r="K97" s="113" t="s">
        <v>390</v>
      </c>
      <c r="M97" s="68"/>
      <c r="N97" s="45"/>
      <c r="P97" s="16"/>
    </row>
    <row r="98" spans="1:17" s="17" customFormat="1" ht="23.25" customHeight="1">
      <c r="A98" s="18">
        <f>A97+1</f>
        <v>70</v>
      </c>
      <c r="B98" s="28" t="s">
        <v>288</v>
      </c>
      <c r="C98" s="29" t="s">
        <v>289</v>
      </c>
      <c r="D98" s="30" t="s">
        <v>34</v>
      </c>
      <c r="E98" s="30">
        <v>8</v>
      </c>
      <c r="F98" s="39">
        <f aca="true" t="shared" si="9" ref="F98:F124">E98</f>
        <v>8</v>
      </c>
      <c r="G98" s="32">
        <v>1365.93</v>
      </c>
      <c r="H98" s="33">
        <f t="shared" si="7"/>
        <v>1407</v>
      </c>
      <c r="I98" s="34">
        <f t="shared" si="8"/>
        <v>11256</v>
      </c>
      <c r="J98" s="35"/>
      <c r="K98" s="36"/>
      <c r="M98" s="68"/>
      <c r="N98" s="45"/>
      <c r="Q98" s="16"/>
    </row>
    <row r="99" spans="1:17" s="17" customFormat="1" ht="23.25" customHeight="1">
      <c r="A99" s="18">
        <f>A98+1</f>
        <v>71</v>
      </c>
      <c r="B99" s="28" t="s">
        <v>391</v>
      </c>
      <c r="C99" s="29" t="s">
        <v>392</v>
      </c>
      <c r="D99" s="30" t="s">
        <v>34</v>
      </c>
      <c r="E99" s="31">
        <v>12</v>
      </c>
      <c r="F99" s="39">
        <f t="shared" si="9"/>
        <v>12</v>
      </c>
      <c r="G99" s="32">
        <v>4170.47</v>
      </c>
      <c r="H99" s="33">
        <f t="shared" si="7"/>
        <v>4296</v>
      </c>
      <c r="I99" s="34">
        <f t="shared" si="8"/>
        <v>51552</v>
      </c>
      <c r="J99" s="35"/>
      <c r="K99" s="36"/>
      <c r="M99" s="68"/>
      <c r="N99" s="45"/>
      <c r="Q99" s="16"/>
    </row>
    <row r="100" spans="1:17" s="17" customFormat="1" ht="23.25" customHeight="1">
      <c r="A100" s="18">
        <f>A99+1</f>
        <v>72</v>
      </c>
      <c r="B100" s="28" t="s">
        <v>393</v>
      </c>
      <c r="C100" s="29" t="s">
        <v>394</v>
      </c>
      <c r="D100" s="30" t="s">
        <v>34</v>
      </c>
      <c r="E100" s="31">
        <v>6</v>
      </c>
      <c r="F100" s="39">
        <f t="shared" si="9"/>
        <v>6</v>
      </c>
      <c r="G100" s="32">
        <v>6131.81</v>
      </c>
      <c r="H100" s="33">
        <f t="shared" si="7"/>
        <v>6316</v>
      </c>
      <c r="I100" s="34">
        <f t="shared" si="8"/>
        <v>37896</v>
      </c>
      <c r="J100" s="35"/>
      <c r="K100" s="36"/>
      <c r="M100" s="68"/>
      <c r="N100" s="45"/>
      <c r="Q100" s="16"/>
    </row>
    <row r="101" spans="1:18" s="17" customFormat="1" ht="23.25" customHeight="1">
      <c r="A101" s="18">
        <f>A100+1</f>
        <v>73</v>
      </c>
      <c r="B101" s="28" t="s">
        <v>290</v>
      </c>
      <c r="C101" s="29" t="s">
        <v>291</v>
      </c>
      <c r="D101" s="30" t="s">
        <v>12</v>
      </c>
      <c r="E101" s="39">
        <v>6</v>
      </c>
      <c r="F101" s="39">
        <f t="shared" si="9"/>
        <v>6</v>
      </c>
      <c r="G101" s="64">
        <v>148.03</v>
      </c>
      <c r="H101" s="33">
        <f t="shared" si="7"/>
        <v>153</v>
      </c>
      <c r="I101" s="34">
        <f t="shared" si="8"/>
        <v>918</v>
      </c>
      <c r="J101" s="35"/>
      <c r="K101" s="36"/>
      <c r="M101" s="68"/>
      <c r="N101" s="45"/>
      <c r="O101" s="70"/>
      <c r="Q101" s="63"/>
      <c r="R101" s="71"/>
    </row>
    <row r="102" spans="1:18" s="17" customFormat="1" ht="23.25" customHeight="1">
      <c r="A102" s="18">
        <f aca="true" t="shared" si="10" ref="A102:A124">A101+1</f>
        <v>74</v>
      </c>
      <c r="B102" s="28" t="s">
        <v>395</v>
      </c>
      <c r="C102" s="29" t="s">
        <v>396</v>
      </c>
      <c r="D102" s="30" t="s">
        <v>12</v>
      </c>
      <c r="E102" s="39">
        <v>3</v>
      </c>
      <c r="F102" s="39">
        <f t="shared" si="9"/>
        <v>3</v>
      </c>
      <c r="G102" s="64">
        <v>61.21</v>
      </c>
      <c r="H102" s="33">
        <f t="shared" si="7"/>
        <v>64</v>
      </c>
      <c r="I102" s="34">
        <f t="shared" si="8"/>
        <v>192</v>
      </c>
      <c r="J102" s="35"/>
      <c r="K102" s="36"/>
      <c r="M102" s="68"/>
      <c r="N102" s="45"/>
      <c r="O102" s="70"/>
      <c r="Q102" s="63"/>
      <c r="R102" s="71"/>
    </row>
    <row r="103" spans="1:18" s="17" customFormat="1" ht="23.25" customHeight="1">
      <c r="A103" s="18">
        <f t="shared" si="10"/>
        <v>75</v>
      </c>
      <c r="B103" s="28" t="s">
        <v>397</v>
      </c>
      <c r="C103" s="29" t="s">
        <v>398</v>
      </c>
      <c r="D103" s="30" t="s">
        <v>12</v>
      </c>
      <c r="E103" s="39">
        <v>1</v>
      </c>
      <c r="F103" s="39">
        <f t="shared" si="9"/>
        <v>1</v>
      </c>
      <c r="G103" s="64">
        <v>187.33</v>
      </c>
      <c r="H103" s="33">
        <f t="shared" si="7"/>
        <v>193</v>
      </c>
      <c r="I103" s="34">
        <f t="shared" si="8"/>
        <v>193</v>
      </c>
      <c r="J103" s="35"/>
      <c r="K103" s="36"/>
      <c r="M103" s="68"/>
      <c r="N103" s="45"/>
      <c r="O103" s="70"/>
      <c r="Q103" s="63"/>
      <c r="R103" s="71"/>
    </row>
    <row r="104" spans="1:18" s="17" customFormat="1" ht="23.25" customHeight="1">
      <c r="A104" s="18">
        <f t="shared" si="10"/>
        <v>76</v>
      </c>
      <c r="B104" s="28" t="s">
        <v>399</v>
      </c>
      <c r="C104" s="29" t="s">
        <v>400</v>
      </c>
      <c r="D104" s="30" t="s">
        <v>30</v>
      </c>
      <c r="E104" s="39">
        <v>6</v>
      </c>
      <c r="F104" s="39">
        <f t="shared" si="9"/>
        <v>6</v>
      </c>
      <c r="G104" s="64">
        <v>2.38</v>
      </c>
      <c r="H104" s="33">
        <f t="shared" si="7"/>
        <v>3</v>
      </c>
      <c r="I104" s="34">
        <f t="shared" si="8"/>
        <v>18</v>
      </c>
      <c r="J104" s="35"/>
      <c r="K104" s="36"/>
      <c r="M104" s="68"/>
      <c r="N104" s="45"/>
      <c r="O104" s="70"/>
      <c r="Q104" s="63"/>
      <c r="R104" s="71"/>
    </row>
    <row r="105" spans="1:18" s="17" customFormat="1" ht="23.25" customHeight="1">
      <c r="A105" s="18">
        <f t="shared" si="10"/>
        <v>77</v>
      </c>
      <c r="B105" s="28" t="s">
        <v>401</v>
      </c>
      <c r="C105" s="29" t="s">
        <v>402</v>
      </c>
      <c r="D105" s="30" t="s">
        <v>30</v>
      </c>
      <c r="E105" s="39">
        <v>319</v>
      </c>
      <c r="F105" s="39">
        <f t="shared" si="9"/>
        <v>319</v>
      </c>
      <c r="G105" s="64">
        <v>2.98</v>
      </c>
      <c r="H105" s="33">
        <f t="shared" si="7"/>
        <v>4</v>
      </c>
      <c r="I105" s="34">
        <f t="shared" si="8"/>
        <v>1276</v>
      </c>
      <c r="J105" s="35"/>
      <c r="K105" s="36"/>
      <c r="M105" s="68"/>
      <c r="N105" s="45"/>
      <c r="O105" s="70"/>
      <c r="Q105" s="63"/>
      <c r="R105" s="71"/>
    </row>
    <row r="106" spans="1:18" s="17" customFormat="1" ht="23.25" customHeight="1">
      <c r="A106" s="18">
        <f t="shared" si="10"/>
        <v>78</v>
      </c>
      <c r="B106" s="28" t="s">
        <v>285</v>
      </c>
      <c r="C106" s="29" t="s">
        <v>403</v>
      </c>
      <c r="D106" s="30" t="s">
        <v>9</v>
      </c>
      <c r="E106" s="39">
        <v>1</v>
      </c>
      <c r="F106" s="39">
        <f t="shared" si="9"/>
        <v>1</v>
      </c>
      <c r="G106" s="64">
        <v>22855.21</v>
      </c>
      <c r="H106" s="33">
        <f t="shared" si="7"/>
        <v>23541</v>
      </c>
      <c r="I106" s="34">
        <f t="shared" si="8"/>
        <v>23541</v>
      </c>
      <c r="J106" s="35"/>
      <c r="K106" s="36"/>
      <c r="M106" s="68"/>
      <c r="N106" s="45"/>
      <c r="O106" s="70"/>
      <c r="Q106" s="63"/>
      <c r="R106" s="71"/>
    </row>
    <row r="107" spans="1:18" s="17" customFormat="1" ht="23.25" customHeight="1">
      <c r="A107" s="18">
        <f t="shared" si="10"/>
        <v>79</v>
      </c>
      <c r="B107" s="28" t="s">
        <v>404</v>
      </c>
      <c r="C107" s="29" t="s">
        <v>405</v>
      </c>
      <c r="D107" s="30" t="s">
        <v>11</v>
      </c>
      <c r="E107" s="39">
        <v>960</v>
      </c>
      <c r="F107" s="39">
        <f t="shared" si="9"/>
        <v>960</v>
      </c>
      <c r="G107" s="64">
        <v>2.93</v>
      </c>
      <c r="H107" s="33">
        <f t="shared" si="7"/>
        <v>4</v>
      </c>
      <c r="I107" s="34">
        <f t="shared" si="8"/>
        <v>3840</v>
      </c>
      <c r="J107" s="35"/>
      <c r="K107" s="36"/>
      <c r="M107" s="68"/>
      <c r="N107" s="45"/>
      <c r="O107" s="70"/>
      <c r="Q107" s="63"/>
      <c r="R107" s="71"/>
    </row>
    <row r="108" spans="1:19" s="17" customFormat="1" ht="23.25" customHeight="1">
      <c r="A108" s="18">
        <f t="shared" si="10"/>
        <v>80</v>
      </c>
      <c r="B108" s="28" t="s">
        <v>292</v>
      </c>
      <c r="C108" s="29" t="s">
        <v>293</v>
      </c>
      <c r="D108" s="30" t="s">
        <v>11</v>
      </c>
      <c r="E108" s="39">
        <v>360</v>
      </c>
      <c r="F108" s="39">
        <f t="shared" si="9"/>
        <v>360</v>
      </c>
      <c r="G108" s="64">
        <v>4.2</v>
      </c>
      <c r="H108" s="33">
        <f t="shared" si="7"/>
        <v>5</v>
      </c>
      <c r="I108" s="34">
        <f t="shared" si="8"/>
        <v>1800</v>
      </c>
      <c r="J108" s="35"/>
      <c r="K108" s="36"/>
      <c r="M108" s="68"/>
      <c r="N108" s="45"/>
      <c r="Q108" s="63"/>
      <c r="R108" s="71"/>
      <c r="S108" s="5"/>
    </row>
    <row r="109" spans="1:19" s="17" customFormat="1" ht="23.25" customHeight="1">
      <c r="A109" s="18">
        <f t="shared" si="10"/>
        <v>81</v>
      </c>
      <c r="B109" s="28" t="s">
        <v>406</v>
      </c>
      <c r="C109" s="29" t="s">
        <v>407</v>
      </c>
      <c r="D109" s="30" t="s">
        <v>11</v>
      </c>
      <c r="E109" s="39">
        <v>730</v>
      </c>
      <c r="F109" s="39">
        <f t="shared" si="9"/>
        <v>730</v>
      </c>
      <c r="G109" s="64">
        <v>5.28</v>
      </c>
      <c r="H109" s="33">
        <f t="shared" si="7"/>
        <v>6</v>
      </c>
      <c r="I109" s="34">
        <f t="shared" si="8"/>
        <v>4380</v>
      </c>
      <c r="J109" s="35"/>
      <c r="K109" s="36"/>
      <c r="M109" s="68"/>
      <c r="N109" s="45"/>
      <c r="Q109" s="63"/>
      <c r="R109" s="71"/>
      <c r="S109" s="5"/>
    </row>
    <row r="110" spans="1:20" s="17" customFormat="1" ht="23.25" customHeight="1">
      <c r="A110" s="18">
        <f t="shared" si="10"/>
        <v>82</v>
      </c>
      <c r="B110" s="28" t="s">
        <v>294</v>
      </c>
      <c r="C110" s="37" t="s">
        <v>295</v>
      </c>
      <c r="D110" s="30" t="s">
        <v>79</v>
      </c>
      <c r="E110" s="85">
        <v>0.756</v>
      </c>
      <c r="F110" s="85">
        <v>0.756</v>
      </c>
      <c r="G110" s="64">
        <v>2088.73</v>
      </c>
      <c r="H110" s="33">
        <f t="shared" si="7"/>
        <v>2152</v>
      </c>
      <c r="I110" s="34">
        <f t="shared" si="8"/>
        <v>1627</v>
      </c>
      <c r="J110" s="35"/>
      <c r="K110" s="36"/>
      <c r="M110" s="68"/>
      <c r="N110" s="45"/>
      <c r="P110" s="5"/>
      <c r="T110" s="5"/>
    </row>
    <row r="111" spans="1:20" s="17" customFormat="1" ht="23.25" customHeight="1">
      <c r="A111" s="18">
        <f t="shared" si="10"/>
        <v>83</v>
      </c>
      <c r="B111" s="28" t="s">
        <v>408</v>
      </c>
      <c r="C111" s="37" t="s">
        <v>302</v>
      </c>
      <c r="D111" s="30" t="s">
        <v>12</v>
      </c>
      <c r="E111" s="39">
        <v>12</v>
      </c>
      <c r="F111" s="39">
        <f t="shared" si="9"/>
        <v>12</v>
      </c>
      <c r="G111" s="64">
        <v>135.28</v>
      </c>
      <c r="H111" s="33">
        <f t="shared" si="7"/>
        <v>140</v>
      </c>
      <c r="I111" s="34">
        <f t="shared" si="8"/>
        <v>1680</v>
      </c>
      <c r="J111" s="35"/>
      <c r="K111" s="36"/>
      <c r="M111" s="68"/>
      <c r="N111" s="45"/>
      <c r="P111" s="5"/>
      <c r="T111" s="5"/>
    </row>
    <row r="112" spans="1:20" s="17" customFormat="1" ht="23.25" customHeight="1">
      <c r="A112" s="18">
        <f t="shared" si="10"/>
        <v>84</v>
      </c>
      <c r="B112" s="28" t="s">
        <v>409</v>
      </c>
      <c r="C112" s="37" t="s">
        <v>304</v>
      </c>
      <c r="D112" s="30" t="s">
        <v>12</v>
      </c>
      <c r="E112" s="39">
        <v>110</v>
      </c>
      <c r="F112" s="39">
        <f t="shared" si="9"/>
        <v>110</v>
      </c>
      <c r="G112" s="64">
        <v>72.34</v>
      </c>
      <c r="H112" s="33">
        <f t="shared" si="7"/>
        <v>75</v>
      </c>
      <c r="I112" s="34">
        <f t="shared" si="8"/>
        <v>8250</v>
      </c>
      <c r="J112" s="35"/>
      <c r="K112" s="36"/>
      <c r="M112" s="68"/>
      <c r="N112" s="45"/>
      <c r="P112" s="5"/>
      <c r="T112" s="5"/>
    </row>
    <row r="113" spans="1:20" s="17" customFormat="1" ht="23.25" customHeight="1">
      <c r="A113" s="18">
        <f t="shared" si="10"/>
        <v>85</v>
      </c>
      <c r="B113" s="28" t="s">
        <v>296</v>
      </c>
      <c r="C113" s="37" t="s">
        <v>297</v>
      </c>
      <c r="D113" s="30" t="s">
        <v>11</v>
      </c>
      <c r="E113" s="39">
        <v>350</v>
      </c>
      <c r="F113" s="39">
        <f t="shared" si="9"/>
        <v>350</v>
      </c>
      <c r="G113" s="64">
        <v>3.85</v>
      </c>
      <c r="H113" s="33">
        <f t="shared" si="7"/>
        <v>4</v>
      </c>
      <c r="I113" s="34">
        <f t="shared" si="8"/>
        <v>1400</v>
      </c>
      <c r="J113" s="35"/>
      <c r="K113" s="36"/>
      <c r="M113" s="68"/>
      <c r="N113" s="45"/>
      <c r="P113" s="5"/>
      <c r="Q113" s="72"/>
      <c r="T113" s="5"/>
    </row>
    <row r="114" spans="1:20" s="17" customFormat="1" ht="23.25" customHeight="1">
      <c r="A114" s="18">
        <f t="shared" si="10"/>
        <v>86</v>
      </c>
      <c r="B114" s="28" t="s">
        <v>410</v>
      </c>
      <c r="C114" s="37" t="s">
        <v>411</v>
      </c>
      <c r="D114" s="30" t="s">
        <v>79</v>
      </c>
      <c r="E114" s="85">
        <v>0.187</v>
      </c>
      <c r="F114" s="85">
        <f t="shared" si="9"/>
        <v>0.187</v>
      </c>
      <c r="G114" s="64">
        <v>2267.12</v>
      </c>
      <c r="H114" s="33">
        <f t="shared" si="7"/>
        <v>2336</v>
      </c>
      <c r="I114" s="34">
        <f t="shared" si="8"/>
        <v>437</v>
      </c>
      <c r="J114" s="35"/>
      <c r="K114" s="36"/>
      <c r="M114" s="68"/>
      <c r="N114" s="45"/>
      <c r="P114" s="5"/>
      <c r="Q114" s="72"/>
      <c r="T114" s="5"/>
    </row>
    <row r="115" spans="1:20" s="17" customFormat="1" ht="23.25" customHeight="1">
      <c r="A115" s="18">
        <f t="shared" si="10"/>
        <v>87</v>
      </c>
      <c r="B115" s="28" t="s">
        <v>80</v>
      </c>
      <c r="C115" s="37" t="s">
        <v>298</v>
      </c>
      <c r="D115" s="30" t="s">
        <v>11</v>
      </c>
      <c r="E115" s="39">
        <v>3360</v>
      </c>
      <c r="F115" s="39">
        <f t="shared" si="9"/>
        <v>3360</v>
      </c>
      <c r="G115" s="64">
        <v>10.16</v>
      </c>
      <c r="H115" s="33">
        <f t="shared" si="7"/>
        <v>11</v>
      </c>
      <c r="I115" s="34">
        <f t="shared" si="8"/>
        <v>36960</v>
      </c>
      <c r="J115" s="35"/>
      <c r="K115" s="36"/>
      <c r="M115" s="68"/>
      <c r="N115" s="45"/>
      <c r="P115" s="67"/>
      <c r="T115" s="5"/>
    </row>
    <row r="116" spans="1:20" s="17" customFormat="1" ht="23.25" customHeight="1">
      <c r="A116" s="18">
        <f t="shared" si="10"/>
        <v>88</v>
      </c>
      <c r="B116" s="28" t="s">
        <v>299</v>
      </c>
      <c r="C116" s="37" t="s">
        <v>300</v>
      </c>
      <c r="D116" s="30" t="s">
        <v>11</v>
      </c>
      <c r="E116" s="39">
        <v>2585</v>
      </c>
      <c r="F116" s="39">
        <f t="shared" si="9"/>
        <v>2585</v>
      </c>
      <c r="G116" s="64">
        <v>15.42</v>
      </c>
      <c r="H116" s="33">
        <f t="shared" si="7"/>
        <v>16</v>
      </c>
      <c r="I116" s="34">
        <f t="shared" si="8"/>
        <v>41360</v>
      </c>
      <c r="J116" s="35"/>
      <c r="K116" s="36"/>
      <c r="M116" s="68"/>
      <c r="N116" s="45"/>
      <c r="P116" s="5"/>
      <c r="T116" s="5"/>
    </row>
    <row r="117" spans="1:20" s="17" customFormat="1" ht="23.25" customHeight="1">
      <c r="A117" s="18">
        <f t="shared" si="10"/>
        <v>89</v>
      </c>
      <c r="B117" s="28" t="s">
        <v>301</v>
      </c>
      <c r="C117" s="37" t="s">
        <v>302</v>
      </c>
      <c r="D117" s="30" t="s">
        <v>12</v>
      </c>
      <c r="E117" s="39">
        <v>41</v>
      </c>
      <c r="F117" s="39">
        <f t="shared" si="9"/>
        <v>41</v>
      </c>
      <c r="G117" s="64">
        <v>225.68</v>
      </c>
      <c r="H117" s="33">
        <f t="shared" si="7"/>
        <v>233</v>
      </c>
      <c r="I117" s="34">
        <f t="shared" si="8"/>
        <v>9553</v>
      </c>
      <c r="J117" s="35"/>
      <c r="K117" s="36"/>
      <c r="M117" s="68"/>
      <c r="N117" s="45"/>
      <c r="P117" s="5"/>
      <c r="Q117" s="5"/>
      <c r="R117" s="5"/>
      <c r="S117" s="5"/>
      <c r="T117" s="5"/>
    </row>
    <row r="118" spans="1:20" s="17" customFormat="1" ht="23.25" customHeight="1">
      <c r="A118" s="18">
        <f t="shared" si="10"/>
        <v>90</v>
      </c>
      <c r="B118" s="28" t="s">
        <v>303</v>
      </c>
      <c r="C118" s="37" t="s">
        <v>304</v>
      </c>
      <c r="D118" s="30" t="s">
        <v>12</v>
      </c>
      <c r="E118" s="39">
        <v>13</v>
      </c>
      <c r="F118" s="39">
        <f t="shared" si="9"/>
        <v>13</v>
      </c>
      <c r="G118" s="64">
        <v>147.66</v>
      </c>
      <c r="H118" s="33">
        <f t="shared" si="7"/>
        <v>153</v>
      </c>
      <c r="I118" s="34">
        <f t="shared" si="8"/>
        <v>1989</v>
      </c>
      <c r="J118" s="35"/>
      <c r="K118" s="36"/>
      <c r="M118" s="68"/>
      <c r="N118" s="45"/>
      <c r="O118" s="47"/>
      <c r="P118" s="5"/>
      <c r="Q118" s="5"/>
      <c r="R118" s="5"/>
      <c r="S118" s="5"/>
      <c r="T118" s="5"/>
    </row>
    <row r="119" spans="1:20" s="17" customFormat="1" ht="23.25" customHeight="1">
      <c r="A119" s="18">
        <f t="shared" si="10"/>
        <v>91</v>
      </c>
      <c r="B119" s="28" t="s">
        <v>412</v>
      </c>
      <c r="C119" s="37" t="s">
        <v>413</v>
      </c>
      <c r="D119" s="30" t="s">
        <v>12</v>
      </c>
      <c r="E119" s="39">
        <v>2</v>
      </c>
      <c r="F119" s="39">
        <f t="shared" si="9"/>
        <v>2</v>
      </c>
      <c r="G119" s="64">
        <v>1886.92</v>
      </c>
      <c r="H119" s="33">
        <f t="shared" si="7"/>
        <v>1944</v>
      </c>
      <c r="I119" s="34">
        <f t="shared" si="8"/>
        <v>3888</v>
      </c>
      <c r="J119" s="35"/>
      <c r="K119" s="36"/>
      <c r="M119" s="68"/>
      <c r="N119" s="45"/>
      <c r="O119" s="47"/>
      <c r="P119" s="5"/>
      <c r="Q119" s="5"/>
      <c r="R119" s="5"/>
      <c r="S119" s="5"/>
      <c r="T119" s="5"/>
    </row>
    <row r="120" spans="1:20" s="17" customFormat="1" ht="23.25" customHeight="1">
      <c r="A120" s="18">
        <f t="shared" si="10"/>
        <v>92</v>
      </c>
      <c r="B120" s="28" t="s">
        <v>305</v>
      </c>
      <c r="C120" s="37" t="s">
        <v>306</v>
      </c>
      <c r="D120" s="30" t="s">
        <v>79</v>
      </c>
      <c r="E120" s="85">
        <v>9.243</v>
      </c>
      <c r="F120" s="85">
        <f t="shared" si="9"/>
        <v>9.243</v>
      </c>
      <c r="G120" s="64">
        <v>4347.82</v>
      </c>
      <c r="H120" s="33">
        <f t="shared" si="7"/>
        <v>4479</v>
      </c>
      <c r="I120" s="34">
        <f t="shared" si="8"/>
        <v>41400</v>
      </c>
      <c r="J120" s="35"/>
      <c r="K120" s="36"/>
      <c r="M120" s="68"/>
      <c r="N120" s="45"/>
      <c r="O120" s="47"/>
      <c r="P120" s="5"/>
      <c r="Q120" s="5"/>
      <c r="R120" s="5"/>
      <c r="S120" s="5"/>
      <c r="T120" s="5"/>
    </row>
    <row r="121" spans="1:20" s="17" customFormat="1" ht="23.25" customHeight="1">
      <c r="A121" s="18">
        <f t="shared" si="10"/>
        <v>93</v>
      </c>
      <c r="B121" s="28" t="s">
        <v>307</v>
      </c>
      <c r="C121" s="37" t="s">
        <v>308</v>
      </c>
      <c r="D121" s="30" t="s">
        <v>79</v>
      </c>
      <c r="E121" s="85">
        <v>0.269</v>
      </c>
      <c r="F121" s="85">
        <f t="shared" si="9"/>
        <v>0.269</v>
      </c>
      <c r="G121" s="64">
        <v>6329.98</v>
      </c>
      <c r="H121" s="33">
        <f t="shared" si="7"/>
        <v>6520</v>
      </c>
      <c r="I121" s="34">
        <f t="shared" si="8"/>
        <v>1754</v>
      </c>
      <c r="J121" s="35"/>
      <c r="K121" s="36"/>
      <c r="M121" s="68"/>
      <c r="N121" s="45"/>
      <c r="Q121" s="5"/>
      <c r="R121" s="5"/>
      <c r="S121" s="5"/>
      <c r="T121" s="5"/>
    </row>
    <row r="122" spans="1:20" s="17" customFormat="1" ht="23.25" customHeight="1">
      <c r="A122" s="18">
        <f t="shared" si="10"/>
        <v>94</v>
      </c>
      <c r="B122" s="28" t="s">
        <v>309</v>
      </c>
      <c r="C122" s="37" t="s">
        <v>310</v>
      </c>
      <c r="D122" s="30" t="s">
        <v>79</v>
      </c>
      <c r="E122" s="85">
        <v>3.285</v>
      </c>
      <c r="F122" s="85">
        <f t="shared" si="9"/>
        <v>3.285</v>
      </c>
      <c r="G122" s="64">
        <v>1479.94</v>
      </c>
      <c r="H122" s="33">
        <f t="shared" si="7"/>
        <v>1525</v>
      </c>
      <c r="I122" s="34">
        <f t="shared" si="8"/>
        <v>5010</v>
      </c>
      <c r="J122" s="35"/>
      <c r="K122" s="36"/>
      <c r="M122" s="68"/>
      <c r="N122" s="45"/>
      <c r="Q122" s="5"/>
      <c r="R122" s="5"/>
      <c r="S122" s="5"/>
      <c r="T122" s="5"/>
    </row>
    <row r="123" spans="1:20" s="17" customFormat="1" ht="23.25" customHeight="1">
      <c r="A123" s="18">
        <f t="shared" si="10"/>
        <v>95</v>
      </c>
      <c r="B123" s="28" t="s">
        <v>311</v>
      </c>
      <c r="C123" s="37" t="s">
        <v>312</v>
      </c>
      <c r="D123" s="30" t="s">
        <v>79</v>
      </c>
      <c r="E123" s="85">
        <v>0.057</v>
      </c>
      <c r="F123" s="85">
        <f t="shared" si="9"/>
        <v>0.057</v>
      </c>
      <c r="G123" s="64">
        <v>2497.74</v>
      </c>
      <c r="H123" s="33">
        <f t="shared" si="7"/>
        <v>2573</v>
      </c>
      <c r="I123" s="34">
        <f>ROUNDUP(F123*H123,0)</f>
        <v>147</v>
      </c>
      <c r="J123" s="35"/>
      <c r="K123" s="36"/>
      <c r="M123" s="68"/>
      <c r="N123" s="45"/>
      <c r="Q123" s="5"/>
      <c r="R123" s="5"/>
      <c r="S123" s="5"/>
      <c r="T123" s="5"/>
    </row>
    <row r="124" spans="1:20" s="17" customFormat="1" ht="22.5" customHeight="1" thickBot="1">
      <c r="A124" s="18">
        <f t="shared" si="10"/>
        <v>96</v>
      </c>
      <c r="B124" s="28" t="s">
        <v>313</v>
      </c>
      <c r="C124" s="29" t="s">
        <v>314</v>
      </c>
      <c r="D124" s="30" t="s">
        <v>79</v>
      </c>
      <c r="E124" s="85">
        <v>4.951</v>
      </c>
      <c r="F124" s="85">
        <f t="shared" si="9"/>
        <v>4.951</v>
      </c>
      <c r="G124" s="64">
        <v>4318.66</v>
      </c>
      <c r="H124" s="33">
        <f t="shared" si="7"/>
        <v>4449</v>
      </c>
      <c r="I124" s="34">
        <f t="shared" si="8"/>
        <v>22027</v>
      </c>
      <c r="J124" s="35"/>
      <c r="K124" s="36"/>
      <c r="M124" s="68"/>
      <c r="N124" s="45"/>
      <c r="O124" s="5"/>
      <c r="P124" s="5"/>
      <c r="Q124" s="5"/>
      <c r="R124" s="5"/>
      <c r="S124" s="5"/>
      <c r="T124" s="5"/>
    </row>
    <row r="125" spans="1:16" ht="23.25" customHeight="1" thickBot="1" thickTop="1">
      <c r="A125" s="59"/>
      <c r="B125" s="60"/>
      <c r="C125" s="60"/>
      <c r="D125" s="60"/>
      <c r="E125" s="60"/>
      <c r="F125" s="101"/>
      <c r="G125" s="60"/>
      <c r="H125" s="62" t="s">
        <v>151</v>
      </c>
      <c r="I125" s="61">
        <f>SUM(I97:I124)</f>
        <v>346177</v>
      </c>
      <c r="J125" s="15"/>
      <c r="K125" s="15"/>
      <c r="M125" s="41"/>
      <c r="N125" s="45"/>
      <c r="O125" s="17"/>
      <c r="P125" s="11"/>
    </row>
    <row r="126" spans="1:16" ht="23.25" customHeight="1" thickBot="1" thickTop="1">
      <c r="A126" s="342" t="s">
        <v>152</v>
      </c>
      <c r="B126" s="343"/>
      <c r="C126" s="343"/>
      <c r="D126" s="343"/>
      <c r="E126" s="343"/>
      <c r="F126" s="343"/>
      <c r="G126" s="343"/>
      <c r="H126" s="343"/>
      <c r="I126" s="344"/>
      <c r="J126" s="15"/>
      <c r="K126" s="15"/>
      <c r="M126" s="16"/>
      <c r="N126" s="16"/>
      <c r="O126" s="17"/>
      <c r="P126" s="11"/>
    </row>
    <row r="127" spans="1:16" s="17" customFormat="1" ht="23.25" customHeight="1" thickTop="1">
      <c r="A127" s="18">
        <f>A124+1</f>
        <v>97</v>
      </c>
      <c r="B127" s="19" t="s">
        <v>31</v>
      </c>
      <c r="C127" s="20" t="s">
        <v>45</v>
      </c>
      <c r="D127" s="21" t="s">
        <v>10</v>
      </c>
      <c r="E127" s="22">
        <v>5</v>
      </c>
      <c r="F127" s="39">
        <f>E127</f>
        <v>5</v>
      </c>
      <c r="G127" s="24">
        <v>10</v>
      </c>
      <c r="H127" s="33">
        <v>20</v>
      </c>
      <c r="I127" s="34">
        <f aca="true" t="shared" si="11" ref="I127:I184">ROUNDUP(F127*H127,0)</f>
        <v>100</v>
      </c>
      <c r="J127" s="35"/>
      <c r="K127" s="113" t="s">
        <v>414</v>
      </c>
      <c r="M127" s="68"/>
      <c r="N127" s="45"/>
      <c r="P127" s="16"/>
    </row>
    <row r="128" spans="1:16" s="17" customFormat="1" ht="23.25" customHeight="1">
      <c r="A128" s="18">
        <f aca="true" t="shared" si="12" ref="A128:A175">A127+1</f>
        <v>98</v>
      </c>
      <c r="B128" s="28" t="s">
        <v>28</v>
      </c>
      <c r="C128" s="29" t="s">
        <v>415</v>
      </c>
      <c r="D128" s="21" t="s">
        <v>10</v>
      </c>
      <c r="E128" s="22">
        <v>5</v>
      </c>
      <c r="F128" s="39">
        <v>5</v>
      </c>
      <c r="G128" s="24"/>
      <c r="H128" s="33">
        <v>40</v>
      </c>
      <c r="I128" s="34">
        <f t="shared" si="11"/>
        <v>200</v>
      </c>
      <c r="J128" s="35"/>
      <c r="K128" s="36"/>
      <c r="M128" s="68"/>
      <c r="N128" s="45"/>
      <c r="P128" s="16"/>
    </row>
    <row r="129" spans="1:16" s="17" customFormat="1" ht="23.25" customHeight="1">
      <c r="A129" s="18">
        <f t="shared" si="12"/>
        <v>99</v>
      </c>
      <c r="B129" s="19" t="s">
        <v>156</v>
      </c>
      <c r="C129" s="20" t="s">
        <v>157</v>
      </c>
      <c r="D129" s="21" t="s">
        <v>11</v>
      </c>
      <c r="E129" s="22">
        <v>990</v>
      </c>
      <c r="F129" s="39">
        <f>E129</f>
        <v>990</v>
      </c>
      <c r="G129" s="24">
        <v>10</v>
      </c>
      <c r="H129" s="33">
        <v>6</v>
      </c>
      <c r="I129" s="34">
        <f>ROUNDUP(F129*H129,0)</f>
        <v>5940</v>
      </c>
      <c r="J129" s="35"/>
      <c r="K129" s="36"/>
      <c r="M129" s="68"/>
      <c r="N129" s="45"/>
      <c r="P129" s="16"/>
    </row>
    <row r="130" spans="1:17" s="17" customFormat="1" ht="23.25" customHeight="1">
      <c r="A130" s="18">
        <f t="shared" si="12"/>
        <v>100</v>
      </c>
      <c r="B130" s="28" t="s">
        <v>158</v>
      </c>
      <c r="C130" s="29" t="s">
        <v>159</v>
      </c>
      <c r="D130" s="30" t="s">
        <v>11</v>
      </c>
      <c r="E130" s="31">
        <v>12720</v>
      </c>
      <c r="F130" s="39">
        <f aca="true" t="shared" si="13" ref="F130:F184">E130</f>
        <v>12720</v>
      </c>
      <c r="G130" s="33">
        <v>22</v>
      </c>
      <c r="H130" s="33">
        <f>_xlfn.CEILING.MATH(G130*(1+$K$9),1)</f>
        <v>23</v>
      </c>
      <c r="I130" s="34">
        <f t="shared" si="11"/>
        <v>292560</v>
      </c>
      <c r="J130" s="35"/>
      <c r="K130" s="36"/>
      <c r="M130" s="68"/>
      <c r="N130" s="45"/>
      <c r="Q130" s="16"/>
    </row>
    <row r="131" spans="1:17" s="17" customFormat="1" ht="23.25" customHeight="1">
      <c r="A131" s="18">
        <f t="shared" si="12"/>
        <v>101</v>
      </c>
      <c r="B131" s="28" t="s">
        <v>416</v>
      </c>
      <c r="C131" s="29" t="s">
        <v>417</v>
      </c>
      <c r="D131" s="30" t="s">
        <v>418</v>
      </c>
      <c r="E131" s="31">
        <v>40</v>
      </c>
      <c r="F131" s="39">
        <v>40</v>
      </c>
      <c r="G131" s="33">
        <v>20</v>
      </c>
      <c r="H131" s="33">
        <v>20</v>
      </c>
      <c r="I131" s="34">
        <f t="shared" si="11"/>
        <v>800</v>
      </c>
      <c r="J131" s="35"/>
      <c r="K131" s="36"/>
      <c r="M131" s="68"/>
      <c r="N131" s="45"/>
      <c r="Q131" s="16"/>
    </row>
    <row r="132" spans="1:18" s="17" customFormat="1" ht="23.25" customHeight="1">
      <c r="A132" s="18">
        <f t="shared" si="12"/>
        <v>102</v>
      </c>
      <c r="B132" s="28" t="s">
        <v>189</v>
      </c>
      <c r="C132" s="29" t="s">
        <v>190</v>
      </c>
      <c r="D132" s="30" t="s">
        <v>191</v>
      </c>
      <c r="E132" s="39">
        <v>4</v>
      </c>
      <c r="F132" s="39">
        <f t="shared" si="13"/>
        <v>4</v>
      </c>
      <c r="G132" s="33">
        <v>6000</v>
      </c>
      <c r="H132" s="33">
        <v>5500</v>
      </c>
      <c r="I132" s="34">
        <f t="shared" si="11"/>
        <v>22000</v>
      </c>
      <c r="J132" s="35"/>
      <c r="K132" s="36"/>
      <c r="M132" s="68"/>
      <c r="N132" s="45"/>
      <c r="O132" s="70"/>
      <c r="Q132" s="63"/>
      <c r="R132" s="71"/>
    </row>
    <row r="133" spans="1:19" s="17" customFormat="1" ht="23.25" customHeight="1">
      <c r="A133" s="18">
        <f t="shared" si="12"/>
        <v>103</v>
      </c>
      <c r="B133" s="28" t="s">
        <v>192</v>
      </c>
      <c r="C133" s="29" t="s">
        <v>193</v>
      </c>
      <c r="D133" s="30" t="s">
        <v>191</v>
      </c>
      <c r="E133" s="39">
        <v>2</v>
      </c>
      <c r="F133" s="39">
        <f t="shared" si="13"/>
        <v>2</v>
      </c>
      <c r="G133" s="33">
        <v>500</v>
      </c>
      <c r="H133" s="33">
        <v>750</v>
      </c>
      <c r="I133" s="34">
        <f t="shared" si="11"/>
        <v>1500</v>
      </c>
      <c r="J133" s="35"/>
      <c r="K133" s="36"/>
      <c r="M133" s="68"/>
      <c r="N133" s="45"/>
      <c r="Q133" s="63"/>
      <c r="R133" s="71"/>
      <c r="S133" s="5"/>
    </row>
    <row r="134" spans="1:20" s="17" customFormat="1" ht="23.25" customHeight="1">
      <c r="A134" s="18">
        <f t="shared" si="12"/>
        <v>104</v>
      </c>
      <c r="B134" s="28" t="s">
        <v>194</v>
      </c>
      <c r="C134" s="29" t="s">
        <v>195</v>
      </c>
      <c r="D134" s="30" t="s">
        <v>11</v>
      </c>
      <c r="E134" s="39">
        <v>350</v>
      </c>
      <c r="F134" s="39">
        <f t="shared" si="13"/>
        <v>350</v>
      </c>
      <c r="G134" s="33">
        <v>2.6</v>
      </c>
      <c r="H134" s="33">
        <v>2.8</v>
      </c>
      <c r="I134" s="34">
        <f t="shared" si="11"/>
        <v>980</v>
      </c>
      <c r="J134" s="35"/>
      <c r="K134" s="36"/>
      <c r="M134" s="68"/>
      <c r="N134" s="45"/>
      <c r="P134" s="5"/>
      <c r="T134" s="5"/>
    </row>
    <row r="135" spans="1:20" s="17" customFormat="1" ht="23.25" customHeight="1">
      <c r="A135" s="18">
        <f t="shared" si="12"/>
        <v>105</v>
      </c>
      <c r="B135" s="28" t="s">
        <v>196</v>
      </c>
      <c r="C135" s="29" t="s">
        <v>197</v>
      </c>
      <c r="D135" s="30" t="s">
        <v>11</v>
      </c>
      <c r="E135" s="39">
        <v>9770</v>
      </c>
      <c r="F135" s="39">
        <f t="shared" si="13"/>
        <v>9770</v>
      </c>
      <c r="G135" s="33">
        <v>3.5</v>
      </c>
      <c r="H135" s="33">
        <v>3.5</v>
      </c>
      <c r="I135" s="34">
        <f t="shared" si="11"/>
        <v>34195</v>
      </c>
      <c r="J135" s="35"/>
      <c r="K135" s="36"/>
      <c r="M135" s="68"/>
      <c r="N135" s="45"/>
      <c r="P135" s="5"/>
      <c r="Q135" s="72"/>
      <c r="T135" s="5"/>
    </row>
    <row r="136" spans="1:20" s="17" customFormat="1" ht="23.25" customHeight="1">
      <c r="A136" s="18">
        <f t="shared" si="12"/>
        <v>106</v>
      </c>
      <c r="B136" s="28" t="s">
        <v>198</v>
      </c>
      <c r="C136" s="37" t="s">
        <v>199</v>
      </c>
      <c r="D136" s="30" t="s">
        <v>12</v>
      </c>
      <c r="E136" s="39">
        <v>16</v>
      </c>
      <c r="F136" s="39">
        <f t="shared" si="13"/>
        <v>16</v>
      </c>
      <c r="G136" s="33">
        <v>50</v>
      </c>
      <c r="H136" s="33">
        <v>50</v>
      </c>
      <c r="I136" s="34">
        <f t="shared" si="11"/>
        <v>800</v>
      </c>
      <c r="J136" s="35"/>
      <c r="K136" s="36"/>
      <c r="M136" s="68"/>
      <c r="N136" s="45"/>
      <c r="P136" s="5"/>
      <c r="Q136" s="72"/>
      <c r="T136" s="5"/>
    </row>
    <row r="137" spans="1:20" s="17" customFormat="1" ht="23.25" customHeight="1">
      <c r="A137" s="18">
        <f t="shared" si="12"/>
        <v>107</v>
      </c>
      <c r="B137" s="28" t="s">
        <v>200</v>
      </c>
      <c r="C137" s="37" t="s">
        <v>201</v>
      </c>
      <c r="D137" s="30" t="s">
        <v>12</v>
      </c>
      <c r="E137" s="39">
        <v>48</v>
      </c>
      <c r="F137" s="39">
        <f t="shared" si="13"/>
        <v>48</v>
      </c>
      <c r="G137" s="33">
        <v>75</v>
      </c>
      <c r="H137" s="33">
        <v>75</v>
      </c>
      <c r="I137" s="34">
        <f t="shared" si="11"/>
        <v>3600</v>
      </c>
      <c r="J137" s="35"/>
      <c r="K137" s="36"/>
      <c r="M137" s="68"/>
      <c r="N137" s="45"/>
      <c r="P137" s="5"/>
      <c r="Q137" s="72"/>
      <c r="T137" s="5"/>
    </row>
    <row r="138" spans="1:20" s="17" customFormat="1" ht="23.25" customHeight="1">
      <c r="A138" s="18">
        <f t="shared" si="12"/>
        <v>108</v>
      </c>
      <c r="B138" s="28" t="s">
        <v>202</v>
      </c>
      <c r="C138" s="37" t="s">
        <v>203</v>
      </c>
      <c r="D138" s="30" t="s">
        <v>12</v>
      </c>
      <c r="E138" s="39">
        <v>4</v>
      </c>
      <c r="F138" s="39">
        <f t="shared" si="13"/>
        <v>4</v>
      </c>
      <c r="G138" s="33">
        <v>900</v>
      </c>
      <c r="H138" s="33">
        <v>850</v>
      </c>
      <c r="I138" s="34">
        <f t="shared" si="11"/>
        <v>3400</v>
      </c>
      <c r="J138" s="35"/>
      <c r="K138" s="36"/>
      <c r="M138" s="68"/>
      <c r="N138" s="45"/>
      <c r="P138" s="5"/>
      <c r="Q138" s="72"/>
      <c r="T138" s="5"/>
    </row>
    <row r="139" spans="1:20" s="17" customFormat="1" ht="23.25" customHeight="1">
      <c r="A139" s="18">
        <f t="shared" si="12"/>
        <v>109</v>
      </c>
      <c r="B139" s="28" t="s">
        <v>204</v>
      </c>
      <c r="C139" s="37" t="s">
        <v>205</v>
      </c>
      <c r="D139" s="30" t="s">
        <v>12</v>
      </c>
      <c r="E139" s="39">
        <v>4</v>
      </c>
      <c r="F139" s="39">
        <f t="shared" si="13"/>
        <v>4</v>
      </c>
      <c r="G139" s="33">
        <v>250</v>
      </c>
      <c r="H139" s="33">
        <v>75</v>
      </c>
      <c r="I139" s="34">
        <f t="shared" si="11"/>
        <v>300</v>
      </c>
      <c r="J139" s="35"/>
      <c r="K139" s="36"/>
      <c r="M139" s="68"/>
      <c r="N139" s="45"/>
      <c r="P139" s="5"/>
      <c r="Q139" s="72"/>
      <c r="T139" s="5"/>
    </row>
    <row r="140" spans="1:20" s="17" customFormat="1" ht="23.25" customHeight="1">
      <c r="A140" s="18">
        <f t="shared" si="12"/>
        <v>110</v>
      </c>
      <c r="B140" s="28" t="s">
        <v>206</v>
      </c>
      <c r="C140" s="37" t="s">
        <v>207</v>
      </c>
      <c r="D140" s="30" t="s">
        <v>12</v>
      </c>
      <c r="E140" s="39">
        <v>4</v>
      </c>
      <c r="F140" s="39">
        <f t="shared" si="13"/>
        <v>4</v>
      </c>
      <c r="G140" s="33">
        <v>400</v>
      </c>
      <c r="H140" s="33">
        <v>1000</v>
      </c>
      <c r="I140" s="34">
        <f t="shared" si="11"/>
        <v>4000</v>
      </c>
      <c r="J140" s="35"/>
      <c r="K140" s="36"/>
      <c r="M140" s="68"/>
      <c r="N140" s="45"/>
      <c r="P140" s="5"/>
      <c r="Q140" s="72"/>
      <c r="T140" s="5"/>
    </row>
    <row r="141" spans="1:20" s="17" customFormat="1" ht="23.25" customHeight="1">
      <c r="A141" s="18">
        <f t="shared" si="12"/>
        <v>111</v>
      </c>
      <c r="B141" s="28" t="s">
        <v>208</v>
      </c>
      <c r="C141" s="37" t="s">
        <v>209</v>
      </c>
      <c r="D141" s="30" t="s">
        <v>191</v>
      </c>
      <c r="E141" s="39">
        <v>1</v>
      </c>
      <c r="F141" s="39">
        <f t="shared" si="13"/>
        <v>1</v>
      </c>
      <c r="G141" s="33">
        <v>500</v>
      </c>
      <c r="H141" s="33">
        <v>1200</v>
      </c>
      <c r="I141" s="34">
        <f t="shared" si="11"/>
        <v>1200</v>
      </c>
      <c r="J141" s="35"/>
      <c r="K141" s="36"/>
      <c r="M141" s="68"/>
      <c r="N141" s="45"/>
      <c r="P141" s="5"/>
      <c r="Q141" s="72"/>
      <c r="T141" s="5"/>
    </row>
    <row r="142" spans="1:20" s="17" customFormat="1" ht="23.25" customHeight="1">
      <c r="A142" s="18">
        <f t="shared" si="12"/>
        <v>112</v>
      </c>
      <c r="B142" s="28" t="s">
        <v>160</v>
      </c>
      <c r="C142" s="37" t="s">
        <v>210</v>
      </c>
      <c r="D142" s="30" t="s">
        <v>12</v>
      </c>
      <c r="E142" s="39">
        <v>59</v>
      </c>
      <c r="F142" s="39">
        <f t="shared" si="13"/>
        <v>59</v>
      </c>
      <c r="G142" s="33">
        <v>625</v>
      </c>
      <c r="H142" s="33">
        <v>750</v>
      </c>
      <c r="I142" s="34">
        <f t="shared" si="11"/>
        <v>44250</v>
      </c>
      <c r="J142" s="35"/>
      <c r="K142" s="36"/>
      <c r="M142" s="68"/>
      <c r="N142" s="45"/>
      <c r="P142" s="5"/>
      <c r="Q142" s="72"/>
      <c r="T142" s="5"/>
    </row>
    <row r="143" spans="1:20" s="17" customFormat="1" ht="23.25" customHeight="1">
      <c r="A143" s="18">
        <f t="shared" si="12"/>
        <v>113</v>
      </c>
      <c r="B143" s="28" t="s">
        <v>211</v>
      </c>
      <c r="C143" s="37" t="s">
        <v>212</v>
      </c>
      <c r="D143" s="30" t="s">
        <v>12</v>
      </c>
      <c r="E143" s="39">
        <v>19</v>
      </c>
      <c r="F143" s="39">
        <f t="shared" si="13"/>
        <v>19</v>
      </c>
      <c r="G143" s="33">
        <v>1500</v>
      </c>
      <c r="H143" s="33">
        <v>650</v>
      </c>
      <c r="I143" s="34">
        <f t="shared" si="11"/>
        <v>12350</v>
      </c>
      <c r="J143" s="35"/>
      <c r="K143" s="36"/>
      <c r="M143" s="68"/>
      <c r="N143" s="45"/>
      <c r="P143" s="5"/>
      <c r="Q143" s="72"/>
      <c r="T143" s="5"/>
    </row>
    <row r="144" spans="1:20" s="17" customFormat="1" ht="23.25" customHeight="1">
      <c r="A144" s="18">
        <f t="shared" si="12"/>
        <v>114</v>
      </c>
      <c r="B144" s="28" t="s">
        <v>213</v>
      </c>
      <c r="C144" s="37" t="s">
        <v>214</v>
      </c>
      <c r="D144" s="30" t="s">
        <v>12</v>
      </c>
      <c r="E144" s="39">
        <v>4</v>
      </c>
      <c r="F144" s="39">
        <f t="shared" si="13"/>
        <v>4</v>
      </c>
      <c r="G144" s="33">
        <v>3500</v>
      </c>
      <c r="H144" s="33">
        <v>1200</v>
      </c>
      <c r="I144" s="34">
        <f t="shared" si="11"/>
        <v>4800</v>
      </c>
      <c r="J144" s="35"/>
      <c r="K144" s="36"/>
      <c r="M144" s="68"/>
      <c r="N144" s="45"/>
      <c r="P144" s="5"/>
      <c r="Q144" s="72"/>
      <c r="T144" s="5"/>
    </row>
    <row r="145" spans="1:20" s="17" customFormat="1" ht="23.25" customHeight="1">
      <c r="A145" s="18">
        <f t="shared" si="12"/>
        <v>115</v>
      </c>
      <c r="B145" s="28" t="s">
        <v>162</v>
      </c>
      <c r="C145" s="37" t="s">
        <v>163</v>
      </c>
      <c r="D145" s="30" t="s">
        <v>34</v>
      </c>
      <c r="E145" s="39">
        <v>3</v>
      </c>
      <c r="F145" s="39">
        <f t="shared" si="13"/>
        <v>3</v>
      </c>
      <c r="G145" s="33">
        <v>2000</v>
      </c>
      <c r="H145" s="33">
        <v>2500</v>
      </c>
      <c r="I145" s="34">
        <f t="shared" si="11"/>
        <v>7500</v>
      </c>
      <c r="J145" s="35"/>
      <c r="K145" s="36"/>
      <c r="M145" s="68"/>
      <c r="N145" s="45"/>
      <c r="P145" s="5"/>
      <c r="Q145" s="72"/>
      <c r="T145" s="5"/>
    </row>
    <row r="146" spans="1:20" s="17" customFormat="1" ht="23.25" customHeight="1">
      <c r="A146" s="18">
        <f t="shared" si="12"/>
        <v>116</v>
      </c>
      <c r="B146" s="28" t="s">
        <v>215</v>
      </c>
      <c r="C146" s="29" t="s">
        <v>216</v>
      </c>
      <c r="D146" s="30" t="s">
        <v>34</v>
      </c>
      <c r="E146" s="39">
        <v>1</v>
      </c>
      <c r="F146" s="39">
        <f t="shared" si="13"/>
        <v>1</v>
      </c>
      <c r="G146" s="33">
        <v>400</v>
      </c>
      <c r="H146" s="33">
        <v>375</v>
      </c>
      <c r="I146" s="34">
        <f t="shared" si="11"/>
        <v>375</v>
      </c>
      <c r="J146" s="35"/>
      <c r="K146" s="36"/>
      <c r="M146" s="68"/>
      <c r="N146" s="45"/>
      <c r="P146" s="5"/>
      <c r="Q146" s="72"/>
      <c r="T146" s="5"/>
    </row>
    <row r="147" spans="1:20" s="17" customFormat="1" ht="23.25" customHeight="1">
      <c r="A147" s="18">
        <f t="shared" si="12"/>
        <v>117</v>
      </c>
      <c r="B147" s="28" t="s">
        <v>217</v>
      </c>
      <c r="C147" s="29" t="s">
        <v>218</v>
      </c>
      <c r="D147" s="30" t="s">
        <v>34</v>
      </c>
      <c r="E147" s="39">
        <v>1</v>
      </c>
      <c r="F147" s="39">
        <f t="shared" si="13"/>
        <v>1</v>
      </c>
      <c r="G147" s="33">
        <v>250</v>
      </c>
      <c r="H147" s="33">
        <v>300</v>
      </c>
      <c r="I147" s="34">
        <f t="shared" si="11"/>
        <v>300</v>
      </c>
      <c r="J147" s="35"/>
      <c r="K147" s="36"/>
      <c r="M147" s="68"/>
      <c r="N147" s="45"/>
      <c r="P147" s="5"/>
      <c r="Q147" s="72"/>
      <c r="T147" s="5"/>
    </row>
    <row r="148" spans="1:20" s="17" customFormat="1" ht="23.25" customHeight="1">
      <c r="A148" s="18">
        <f t="shared" si="12"/>
        <v>118</v>
      </c>
      <c r="B148" s="28" t="s">
        <v>219</v>
      </c>
      <c r="C148" s="29" t="s">
        <v>220</v>
      </c>
      <c r="D148" s="30" t="s">
        <v>11</v>
      </c>
      <c r="E148" s="39">
        <v>340</v>
      </c>
      <c r="F148" s="39">
        <f t="shared" si="13"/>
        <v>340</v>
      </c>
      <c r="G148" s="33">
        <v>6</v>
      </c>
      <c r="H148" s="33">
        <v>6.5</v>
      </c>
      <c r="I148" s="34">
        <f t="shared" si="11"/>
        <v>2210</v>
      </c>
      <c r="J148" s="35"/>
      <c r="K148" s="36"/>
      <c r="M148" s="68"/>
      <c r="N148" s="45"/>
      <c r="P148" s="5"/>
      <c r="Q148" s="72"/>
      <c r="T148" s="5"/>
    </row>
    <row r="149" spans="1:20" s="17" customFormat="1" ht="23.25" customHeight="1">
      <c r="A149" s="18">
        <f t="shared" si="12"/>
        <v>119</v>
      </c>
      <c r="B149" s="28" t="s">
        <v>419</v>
      </c>
      <c r="C149" s="29" t="s">
        <v>420</v>
      </c>
      <c r="D149" s="30" t="s">
        <v>12</v>
      </c>
      <c r="E149" s="39">
        <v>1</v>
      </c>
      <c r="F149" s="39">
        <f t="shared" si="13"/>
        <v>1</v>
      </c>
      <c r="G149" s="33"/>
      <c r="H149" s="33">
        <v>900</v>
      </c>
      <c r="I149" s="34">
        <f t="shared" si="11"/>
        <v>900</v>
      </c>
      <c r="J149" s="35"/>
      <c r="K149" s="36"/>
      <c r="M149" s="68"/>
      <c r="N149" s="45"/>
      <c r="P149" s="5"/>
      <c r="Q149" s="72"/>
      <c r="T149" s="5"/>
    </row>
    <row r="150" spans="1:20" s="17" customFormat="1" ht="23.25" customHeight="1">
      <c r="A150" s="18">
        <f t="shared" si="12"/>
        <v>120</v>
      </c>
      <c r="B150" s="28" t="s">
        <v>221</v>
      </c>
      <c r="C150" s="29" t="s">
        <v>222</v>
      </c>
      <c r="D150" s="30" t="s">
        <v>12</v>
      </c>
      <c r="E150" s="39">
        <v>4</v>
      </c>
      <c r="F150" s="39">
        <f t="shared" si="13"/>
        <v>4</v>
      </c>
      <c r="G150" s="33">
        <v>1400</v>
      </c>
      <c r="H150" s="33">
        <v>1400</v>
      </c>
      <c r="I150" s="34">
        <f t="shared" si="11"/>
        <v>5600</v>
      </c>
      <c r="J150" s="35"/>
      <c r="K150" s="36"/>
      <c r="M150" s="68"/>
      <c r="N150" s="45"/>
      <c r="P150" s="5"/>
      <c r="Q150" s="72"/>
      <c r="T150" s="5"/>
    </row>
    <row r="151" spans="1:20" s="17" customFormat="1" ht="23.25" customHeight="1">
      <c r="A151" s="18">
        <f t="shared" si="12"/>
        <v>121</v>
      </c>
      <c r="B151" s="28" t="s">
        <v>223</v>
      </c>
      <c r="C151" s="37" t="s">
        <v>224</v>
      </c>
      <c r="D151" s="30" t="s">
        <v>12</v>
      </c>
      <c r="E151" s="39">
        <v>3</v>
      </c>
      <c r="F151" s="39">
        <f t="shared" si="13"/>
        <v>3</v>
      </c>
      <c r="G151" s="33">
        <v>5000</v>
      </c>
      <c r="H151" s="33">
        <v>5500</v>
      </c>
      <c r="I151" s="34">
        <f t="shared" si="11"/>
        <v>16500</v>
      </c>
      <c r="J151" s="35"/>
      <c r="K151" s="36"/>
      <c r="M151" s="68"/>
      <c r="N151" s="45"/>
      <c r="P151" s="5"/>
      <c r="Q151" s="72"/>
      <c r="T151" s="5"/>
    </row>
    <row r="152" spans="1:20" s="17" customFormat="1" ht="23.25" customHeight="1">
      <c r="A152" s="18">
        <f t="shared" si="12"/>
        <v>122</v>
      </c>
      <c r="B152" s="28" t="s">
        <v>225</v>
      </c>
      <c r="C152" s="37" t="s">
        <v>226</v>
      </c>
      <c r="D152" s="30" t="s">
        <v>12</v>
      </c>
      <c r="E152" s="39">
        <v>1</v>
      </c>
      <c r="F152" s="39">
        <f t="shared" si="13"/>
        <v>1</v>
      </c>
      <c r="G152" s="33">
        <v>400</v>
      </c>
      <c r="H152" s="33">
        <v>400</v>
      </c>
      <c r="I152" s="34">
        <f t="shared" si="11"/>
        <v>400</v>
      </c>
      <c r="J152" s="35"/>
      <c r="K152" s="36"/>
      <c r="M152" s="68"/>
      <c r="N152" s="45"/>
      <c r="P152" s="5"/>
      <c r="Q152" s="72"/>
      <c r="T152" s="5"/>
    </row>
    <row r="153" spans="1:20" s="17" customFormat="1" ht="23.25" customHeight="1">
      <c r="A153" s="18">
        <f t="shared" si="12"/>
        <v>123</v>
      </c>
      <c r="B153" s="28" t="s">
        <v>227</v>
      </c>
      <c r="C153" s="37" t="s">
        <v>228</v>
      </c>
      <c r="D153" s="30" t="s">
        <v>12</v>
      </c>
      <c r="E153" s="38">
        <v>2</v>
      </c>
      <c r="F153" s="39">
        <f t="shared" si="13"/>
        <v>2</v>
      </c>
      <c r="G153" s="33">
        <v>5000</v>
      </c>
      <c r="H153" s="33">
        <v>4000</v>
      </c>
      <c r="I153" s="34">
        <f t="shared" si="11"/>
        <v>8000</v>
      </c>
      <c r="J153" s="35"/>
      <c r="K153" s="36"/>
      <c r="M153" s="68"/>
      <c r="N153" s="45"/>
      <c r="P153" s="5"/>
      <c r="Q153" s="72"/>
      <c r="T153" s="5"/>
    </row>
    <row r="154" spans="1:20" s="17" customFormat="1" ht="23.25" customHeight="1">
      <c r="A154" s="18">
        <f t="shared" si="12"/>
        <v>124</v>
      </c>
      <c r="B154" s="28" t="s">
        <v>229</v>
      </c>
      <c r="C154" s="37" t="s">
        <v>230</v>
      </c>
      <c r="D154" s="30" t="s">
        <v>12</v>
      </c>
      <c r="E154" s="38">
        <v>30</v>
      </c>
      <c r="F154" s="39">
        <f t="shared" si="13"/>
        <v>30</v>
      </c>
      <c r="G154" s="33">
        <v>1500</v>
      </c>
      <c r="H154" s="33">
        <v>1500</v>
      </c>
      <c r="I154" s="34">
        <f t="shared" si="11"/>
        <v>45000</v>
      </c>
      <c r="J154" s="35"/>
      <c r="K154" s="36"/>
      <c r="M154" s="68"/>
      <c r="N154" s="45"/>
      <c r="P154" s="5"/>
      <c r="Q154" s="72"/>
      <c r="T154" s="5"/>
    </row>
    <row r="155" spans="1:20" s="17" customFormat="1" ht="23.25" customHeight="1">
      <c r="A155" s="18">
        <f t="shared" si="12"/>
        <v>125</v>
      </c>
      <c r="B155" s="28" t="s">
        <v>231</v>
      </c>
      <c r="C155" s="37" t="s">
        <v>232</v>
      </c>
      <c r="D155" s="30" t="s">
        <v>12</v>
      </c>
      <c r="E155" s="38">
        <v>4</v>
      </c>
      <c r="F155" s="39">
        <f t="shared" si="13"/>
        <v>4</v>
      </c>
      <c r="G155" s="33">
        <v>250</v>
      </c>
      <c r="H155" s="33">
        <v>250</v>
      </c>
      <c r="I155" s="34">
        <f t="shared" si="11"/>
        <v>1000</v>
      </c>
      <c r="J155" s="35"/>
      <c r="K155" s="36"/>
      <c r="M155" s="68"/>
      <c r="N155" s="45"/>
      <c r="P155" s="5"/>
      <c r="Q155" s="72"/>
      <c r="T155" s="5"/>
    </row>
    <row r="156" spans="1:20" s="17" customFormat="1" ht="23.25" customHeight="1">
      <c r="A156" s="18">
        <f t="shared" si="12"/>
        <v>126</v>
      </c>
      <c r="B156" s="28" t="s">
        <v>233</v>
      </c>
      <c r="C156" s="37" t="s">
        <v>234</v>
      </c>
      <c r="D156" s="30" t="s">
        <v>12</v>
      </c>
      <c r="E156" s="38">
        <v>2</v>
      </c>
      <c r="F156" s="39">
        <f t="shared" si="13"/>
        <v>2</v>
      </c>
      <c r="G156" s="33">
        <v>50000</v>
      </c>
      <c r="H156" s="33">
        <v>56000</v>
      </c>
      <c r="I156" s="34">
        <f t="shared" si="11"/>
        <v>112000</v>
      </c>
      <c r="J156" s="35"/>
      <c r="K156" s="36"/>
      <c r="M156" s="68"/>
      <c r="N156" s="45"/>
      <c r="P156" s="5"/>
      <c r="Q156" s="72"/>
      <c r="T156" s="5"/>
    </row>
    <row r="157" spans="1:20" s="17" customFormat="1" ht="23.25" customHeight="1">
      <c r="A157" s="18">
        <f t="shared" si="12"/>
        <v>127</v>
      </c>
      <c r="B157" s="28" t="s">
        <v>235</v>
      </c>
      <c r="C157" s="37" t="s">
        <v>236</v>
      </c>
      <c r="D157" s="30" t="s">
        <v>12</v>
      </c>
      <c r="E157" s="39">
        <v>4</v>
      </c>
      <c r="F157" s="39">
        <f t="shared" si="13"/>
        <v>4</v>
      </c>
      <c r="G157" s="33">
        <v>54000</v>
      </c>
      <c r="H157" s="33">
        <v>55000</v>
      </c>
      <c r="I157" s="34">
        <f t="shared" si="11"/>
        <v>220000</v>
      </c>
      <c r="J157" s="35"/>
      <c r="K157" s="36"/>
      <c r="M157" s="68"/>
      <c r="N157" s="45"/>
      <c r="P157" s="5"/>
      <c r="Q157" s="72"/>
      <c r="T157" s="5"/>
    </row>
    <row r="158" spans="1:20" s="17" customFormat="1" ht="23.25" customHeight="1">
      <c r="A158" s="18">
        <f t="shared" si="12"/>
        <v>128</v>
      </c>
      <c r="B158" s="28" t="s">
        <v>237</v>
      </c>
      <c r="C158" s="37" t="s">
        <v>238</v>
      </c>
      <c r="D158" s="30" t="s">
        <v>12</v>
      </c>
      <c r="E158" s="39">
        <v>6</v>
      </c>
      <c r="F158" s="39">
        <f t="shared" si="13"/>
        <v>6</v>
      </c>
      <c r="G158" s="33">
        <v>55000</v>
      </c>
      <c r="H158" s="33">
        <v>61000</v>
      </c>
      <c r="I158" s="34">
        <f t="shared" si="11"/>
        <v>366000</v>
      </c>
      <c r="J158" s="35"/>
      <c r="K158" s="36"/>
      <c r="M158" s="68"/>
      <c r="N158" s="45"/>
      <c r="P158" s="5"/>
      <c r="Q158" s="72"/>
      <c r="T158" s="5"/>
    </row>
    <row r="159" spans="1:20" s="17" customFormat="1" ht="23.25" customHeight="1">
      <c r="A159" s="18">
        <f t="shared" si="12"/>
        <v>129</v>
      </c>
      <c r="B159" s="28" t="s">
        <v>421</v>
      </c>
      <c r="C159" s="37" t="s">
        <v>422</v>
      </c>
      <c r="D159" s="30" t="s">
        <v>12</v>
      </c>
      <c r="E159" s="39">
        <v>1</v>
      </c>
      <c r="F159" s="39">
        <f t="shared" si="13"/>
        <v>1</v>
      </c>
      <c r="G159" s="33"/>
      <c r="H159" s="33">
        <v>5000</v>
      </c>
      <c r="I159" s="34">
        <f t="shared" si="11"/>
        <v>5000</v>
      </c>
      <c r="J159" s="35"/>
      <c r="K159" s="36"/>
      <c r="M159" s="68"/>
      <c r="N159" s="45"/>
      <c r="P159" s="5"/>
      <c r="Q159" s="72"/>
      <c r="T159" s="5"/>
    </row>
    <row r="160" spans="1:20" s="17" customFormat="1" ht="23.25" customHeight="1">
      <c r="A160" s="18">
        <f t="shared" si="12"/>
        <v>130</v>
      </c>
      <c r="B160" s="28" t="s">
        <v>239</v>
      </c>
      <c r="C160" s="29" t="s">
        <v>240</v>
      </c>
      <c r="D160" s="30" t="s">
        <v>34</v>
      </c>
      <c r="E160" s="39">
        <v>24</v>
      </c>
      <c r="F160" s="39">
        <f t="shared" si="13"/>
        <v>24</v>
      </c>
      <c r="G160" s="33">
        <v>1000</v>
      </c>
      <c r="H160" s="33">
        <v>900</v>
      </c>
      <c r="I160" s="34">
        <f t="shared" si="11"/>
        <v>21600</v>
      </c>
      <c r="J160" s="35"/>
      <c r="K160" s="36"/>
      <c r="M160" s="68"/>
      <c r="N160" s="45"/>
      <c r="P160" s="5"/>
      <c r="Q160" s="72"/>
      <c r="T160" s="5"/>
    </row>
    <row r="161" spans="1:20" s="17" customFormat="1" ht="23.25" customHeight="1">
      <c r="A161" s="18">
        <f t="shared" si="12"/>
        <v>131</v>
      </c>
      <c r="B161" s="28" t="s">
        <v>241</v>
      </c>
      <c r="C161" s="29" t="s">
        <v>242</v>
      </c>
      <c r="D161" s="30" t="s">
        <v>34</v>
      </c>
      <c r="E161" s="39">
        <v>8</v>
      </c>
      <c r="F161" s="39">
        <f t="shared" si="13"/>
        <v>8</v>
      </c>
      <c r="G161" s="33">
        <v>1100</v>
      </c>
      <c r="H161" s="33">
        <v>1100</v>
      </c>
      <c r="I161" s="34">
        <f t="shared" si="11"/>
        <v>8800</v>
      </c>
      <c r="J161" s="35"/>
      <c r="K161" s="36"/>
      <c r="M161" s="68"/>
      <c r="N161" s="45"/>
      <c r="P161" s="5"/>
      <c r="Q161" s="72"/>
      <c r="T161" s="5"/>
    </row>
    <row r="162" spans="1:20" s="17" customFormat="1" ht="23.25" customHeight="1">
      <c r="A162" s="18">
        <f t="shared" si="12"/>
        <v>132</v>
      </c>
      <c r="B162" s="28" t="s">
        <v>423</v>
      </c>
      <c r="C162" s="29" t="s">
        <v>424</v>
      </c>
      <c r="D162" s="30" t="s">
        <v>34</v>
      </c>
      <c r="E162" s="39">
        <v>9</v>
      </c>
      <c r="F162" s="39">
        <f t="shared" si="13"/>
        <v>9</v>
      </c>
      <c r="G162" s="33"/>
      <c r="H162" s="33">
        <v>1600</v>
      </c>
      <c r="I162" s="34">
        <f t="shared" si="11"/>
        <v>14400</v>
      </c>
      <c r="J162" s="35"/>
      <c r="K162" s="36"/>
      <c r="M162" s="68"/>
      <c r="N162" s="45"/>
      <c r="P162" s="5"/>
      <c r="Q162" s="72"/>
      <c r="T162" s="5"/>
    </row>
    <row r="163" spans="1:20" s="17" customFormat="1" ht="23.25" customHeight="1">
      <c r="A163" s="18">
        <f t="shared" si="12"/>
        <v>133</v>
      </c>
      <c r="B163" s="28" t="s">
        <v>243</v>
      </c>
      <c r="C163" s="37" t="s">
        <v>244</v>
      </c>
      <c r="D163" s="30" t="s">
        <v>34</v>
      </c>
      <c r="E163" s="39">
        <v>3</v>
      </c>
      <c r="F163" s="39">
        <f t="shared" si="13"/>
        <v>3</v>
      </c>
      <c r="G163" s="33">
        <v>200</v>
      </c>
      <c r="H163" s="33">
        <v>120</v>
      </c>
      <c r="I163" s="34">
        <f t="shared" si="11"/>
        <v>360</v>
      </c>
      <c r="J163" s="35"/>
      <c r="K163" s="36"/>
      <c r="M163" s="68"/>
      <c r="N163" s="45"/>
      <c r="P163" s="5"/>
      <c r="Q163" s="72"/>
      <c r="T163" s="5"/>
    </row>
    <row r="164" spans="1:20" s="17" customFormat="1" ht="23.25" customHeight="1">
      <c r="A164" s="18">
        <f t="shared" si="12"/>
        <v>134</v>
      </c>
      <c r="B164" s="28" t="s">
        <v>245</v>
      </c>
      <c r="C164" s="37" t="s">
        <v>246</v>
      </c>
      <c r="D164" s="30" t="s">
        <v>34</v>
      </c>
      <c r="E164" s="39">
        <v>30</v>
      </c>
      <c r="F164" s="39">
        <f t="shared" si="13"/>
        <v>30</v>
      </c>
      <c r="G164" s="33">
        <v>650</v>
      </c>
      <c r="H164" s="33">
        <v>750</v>
      </c>
      <c r="I164" s="34">
        <f t="shared" si="11"/>
        <v>22500</v>
      </c>
      <c r="J164" s="35"/>
      <c r="K164" s="36"/>
      <c r="M164" s="68"/>
      <c r="N164" s="45"/>
      <c r="P164" s="5"/>
      <c r="Q164" s="72"/>
      <c r="T164" s="5"/>
    </row>
    <row r="165" spans="1:20" s="17" customFormat="1" ht="23.25" customHeight="1">
      <c r="A165" s="18">
        <f t="shared" si="12"/>
        <v>135</v>
      </c>
      <c r="B165" s="28" t="s">
        <v>247</v>
      </c>
      <c r="C165" s="29" t="s">
        <v>248</v>
      </c>
      <c r="D165" s="30" t="s">
        <v>12</v>
      </c>
      <c r="E165" s="39">
        <v>5</v>
      </c>
      <c r="F165" s="39">
        <f t="shared" si="13"/>
        <v>5</v>
      </c>
      <c r="G165" s="33">
        <v>4000</v>
      </c>
      <c r="H165" s="33">
        <v>1250</v>
      </c>
      <c r="I165" s="34">
        <f t="shared" si="11"/>
        <v>6250</v>
      </c>
      <c r="J165" s="35"/>
      <c r="K165" s="36"/>
      <c r="M165" s="68"/>
      <c r="N165" s="45"/>
      <c r="P165" s="5"/>
      <c r="Q165" s="72"/>
      <c r="T165" s="5"/>
    </row>
    <row r="166" spans="1:20" s="17" customFormat="1" ht="23.25" customHeight="1">
      <c r="A166" s="18">
        <f t="shared" si="12"/>
        <v>136</v>
      </c>
      <c r="B166" s="28" t="s">
        <v>249</v>
      </c>
      <c r="C166" s="29" t="s">
        <v>250</v>
      </c>
      <c r="D166" s="30" t="s">
        <v>12</v>
      </c>
      <c r="E166" s="39">
        <v>20</v>
      </c>
      <c r="F166" s="39">
        <f t="shared" si="13"/>
        <v>20</v>
      </c>
      <c r="G166" s="33">
        <v>8000</v>
      </c>
      <c r="H166" s="33">
        <v>8000</v>
      </c>
      <c r="I166" s="34">
        <f t="shared" si="11"/>
        <v>160000</v>
      </c>
      <c r="J166" s="35"/>
      <c r="K166" s="36"/>
      <c r="M166" s="68"/>
      <c r="N166" s="45"/>
      <c r="P166" s="5"/>
      <c r="Q166" s="72"/>
      <c r="T166" s="5"/>
    </row>
    <row r="167" spans="1:20" s="17" customFormat="1" ht="23.25" customHeight="1">
      <c r="A167" s="18">
        <f t="shared" si="12"/>
        <v>137</v>
      </c>
      <c r="B167" s="28" t="s">
        <v>253</v>
      </c>
      <c r="C167" s="29" t="s">
        <v>254</v>
      </c>
      <c r="D167" s="30" t="s">
        <v>12</v>
      </c>
      <c r="E167" s="39">
        <v>1</v>
      </c>
      <c r="F167" s="39">
        <f t="shared" si="13"/>
        <v>1</v>
      </c>
      <c r="G167" s="33">
        <v>4000</v>
      </c>
      <c r="H167" s="33">
        <v>4200</v>
      </c>
      <c r="I167" s="34">
        <f t="shared" si="11"/>
        <v>4200</v>
      </c>
      <c r="J167" s="35"/>
      <c r="K167" s="36"/>
      <c r="M167" s="68"/>
      <c r="N167" s="45"/>
      <c r="P167" s="5"/>
      <c r="Q167" s="72"/>
      <c r="T167" s="5"/>
    </row>
    <row r="168" spans="1:20" s="17" customFormat="1" ht="23.25" customHeight="1">
      <c r="A168" s="18">
        <f t="shared" si="12"/>
        <v>138</v>
      </c>
      <c r="B168" s="28" t="s">
        <v>425</v>
      </c>
      <c r="C168" s="29" t="s">
        <v>426</v>
      </c>
      <c r="D168" s="30" t="s">
        <v>12</v>
      </c>
      <c r="E168" s="39">
        <v>4</v>
      </c>
      <c r="F168" s="39">
        <f t="shared" si="13"/>
        <v>4</v>
      </c>
      <c r="G168" s="33">
        <v>400</v>
      </c>
      <c r="H168" s="33">
        <v>2700</v>
      </c>
      <c r="I168" s="34">
        <f t="shared" si="11"/>
        <v>10800</v>
      </c>
      <c r="J168" s="35"/>
      <c r="K168" s="36"/>
      <c r="M168" s="68"/>
      <c r="N168" s="45"/>
      <c r="P168" s="5"/>
      <c r="Q168" s="72"/>
      <c r="T168" s="5"/>
    </row>
    <row r="169" spans="1:20" s="17" customFormat="1" ht="23.25" customHeight="1">
      <c r="A169" s="18">
        <f t="shared" si="12"/>
        <v>139</v>
      </c>
      <c r="B169" s="28" t="s">
        <v>427</v>
      </c>
      <c r="C169" s="29" t="s">
        <v>428</v>
      </c>
      <c r="D169" s="30" t="s">
        <v>12</v>
      </c>
      <c r="E169" s="39">
        <v>4</v>
      </c>
      <c r="F169" s="39">
        <f t="shared" si="13"/>
        <v>4</v>
      </c>
      <c r="G169" s="33">
        <v>5200</v>
      </c>
      <c r="H169" s="33">
        <v>8000</v>
      </c>
      <c r="I169" s="34">
        <f t="shared" si="11"/>
        <v>32000</v>
      </c>
      <c r="J169" s="35"/>
      <c r="K169" s="36"/>
      <c r="M169" s="68"/>
      <c r="N169" s="45"/>
      <c r="P169" s="5"/>
      <c r="Q169" s="72"/>
      <c r="T169" s="5"/>
    </row>
    <row r="170" spans="1:20" s="17" customFormat="1" ht="23.25" customHeight="1">
      <c r="A170" s="18">
        <f t="shared" si="12"/>
        <v>140</v>
      </c>
      <c r="B170" s="28" t="s">
        <v>261</v>
      </c>
      <c r="C170" s="29" t="s">
        <v>262</v>
      </c>
      <c r="D170" s="30" t="s">
        <v>12</v>
      </c>
      <c r="E170" s="39">
        <v>31</v>
      </c>
      <c r="F170" s="39">
        <f t="shared" si="13"/>
        <v>31</v>
      </c>
      <c r="G170" s="33">
        <v>250</v>
      </c>
      <c r="H170" s="33">
        <v>275</v>
      </c>
      <c r="I170" s="34">
        <f t="shared" si="11"/>
        <v>8525</v>
      </c>
      <c r="J170" s="35"/>
      <c r="K170" s="36"/>
      <c r="M170" s="68"/>
      <c r="N170" s="45"/>
      <c r="P170" s="67"/>
      <c r="T170" s="5"/>
    </row>
    <row r="171" spans="1:20" s="17" customFormat="1" ht="23.25" customHeight="1">
      <c r="A171" s="18">
        <f t="shared" si="12"/>
        <v>141</v>
      </c>
      <c r="B171" s="28" t="s">
        <v>263</v>
      </c>
      <c r="C171" s="29" t="s">
        <v>264</v>
      </c>
      <c r="D171" s="30" t="s">
        <v>34</v>
      </c>
      <c r="E171" s="39">
        <v>2</v>
      </c>
      <c r="F171" s="39">
        <f t="shared" si="13"/>
        <v>2</v>
      </c>
      <c r="G171" s="33">
        <v>35000</v>
      </c>
      <c r="H171" s="33">
        <v>36000</v>
      </c>
      <c r="I171" s="34">
        <f t="shared" si="11"/>
        <v>72000</v>
      </c>
      <c r="J171" s="35"/>
      <c r="K171" s="36"/>
      <c r="M171" s="68"/>
      <c r="N171" s="45"/>
      <c r="P171" s="5"/>
      <c r="T171" s="5"/>
    </row>
    <row r="172" spans="1:20" s="17" customFormat="1" ht="23.25" customHeight="1">
      <c r="A172" s="18">
        <f t="shared" si="12"/>
        <v>142</v>
      </c>
      <c r="B172" s="28" t="s">
        <v>265</v>
      </c>
      <c r="C172" s="29" t="s">
        <v>266</v>
      </c>
      <c r="D172" s="30" t="s">
        <v>34</v>
      </c>
      <c r="E172" s="39">
        <v>1</v>
      </c>
      <c r="F172" s="39">
        <f t="shared" si="13"/>
        <v>1</v>
      </c>
      <c r="G172" s="33">
        <v>35000</v>
      </c>
      <c r="H172" s="33">
        <v>36000</v>
      </c>
      <c r="I172" s="34">
        <f t="shared" si="11"/>
        <v>36000</v>
      </c>
      <c r="J172" s="35"/>
      <c r="K172" s="36"/>
      <c r="M172" s="68"/>
      <c r="N172" s="45"/>
      <c r="P172" s="5"/>
      <c r="Q172" s="5"/>
      <c r="R172" s="5"/>
      <c r="S172" s="5"/>
      <c r="T172" s="5"/>
    </row>
    <row r="173" spans="1:20" s="17" customFormat="1" ht="23.25" customHeight="1">
      <c r="A173" s="18">
        <f t="shared" si="12"/>
        <v>143</v>
      </c>
      <c r="B173" s="28" t="s">
        <v>267</v>
      </c>
      <c r="C173" s="29" t="s">
        <v>268</v>
      </c>
      <c r="D173" s="30" t="s">
        <v>34</v>
      </c>
      <c r="E173" s="39">
        <v>1</v>
      </c>
      <c r="F173" s="39">
        <f t="shared" si="13"/>
        <v>1</v>
      </c>
      <c r="G173" s="33">
        <v>2500</v>
      </c>
      <c r="H173" s="33">
        <v>3000</v>
      </c>
      <c r="I173" s="34">
        <f t="shared" si="11"/>
        <v>3000</v>
      </c>
      <c r="J173" s="35"/>
      <c r="K173" s="36"/>
      <c r="M173" s="68"/>
      <c r="N173" s="45"/>
      <c r="O173" s="47"/>
      <c r="P173" s="5"/>
      <c r="Q173" s="5"/>
      <c r="R173" s="5"/>
      <c r="S173" s="5"/>
      <c r="T173" s="5"/>
    </row>
    <row r="174" spans="1:14" s="17" customFormat="1" ht="22.5" customHeight="1">
      <c r="A174" s="18">
        <f t="shared" si="12"/>
        <v>144</v>
      </c>
      <c r="B174" s="28" t="s">
        <v>269</v>
      </c>
      <c r="C174" s="29" t="s">
        <v>270</v>
      </c>
      <c r="D174" s="30" t="s">
        <v>34</v>
      </c>
      <c r="E174" s="39">
        <v>2</v>
      </c>
      <c r="F174" s="39">
        <f t="shared" si="13"/>
        <v>2</v>
      </c>
      <c r="G174" s="33">
        <v>750</v>
      </c>
      <c r="H174" s="33">
        <v>750</v>
      </c>
      <c r="I174" s="34">
        <f t="shared" si="11"/>
        <v>1500</v>
      </c>
      <c r="J174" s="35"/>
      <c r="K174" s="36"/>
      <c r="M174" s="68"/>
      <c r="N174" s="45"/>
    </row>
    <row r="175" spans="1:14" s="17" customFormat="1" ht="22.5" customHeight="1">
      <c r="A175" s="18">
        <f t="shared" si="12"/>
        <v>145</v>
      </c>
      <c r="B175" s="28" t="s">
        <v>429</v>
      </c>
      <c r="C175" s="29" t="s">
        <v>430</v>
      </c>
      <c r="D175" s="30" t="s">
        <v>12</v>
      </c>
      <c r="E175" s="39">
        <v>3</v>
      </c>
      <c r="F175" s="39">
        <f t="shared" si="13"/>
        <v>3</v>
      </c>
      <c r="G175" s="33"/>
      <c r="H175" s="33">
        <v>3000</v>
      </c>
      <c r="I175" s="34">
        <f t="shared" si="11"/>
        <v>9000</v>
      </c>
      <c r="J175" s="35"/>
      <c r="K175" s="36"/>
      <c r="M175" s="68"/>
      <c r="N175" s="45"/>
    </row>
    <row r="176" spans="1:14" s="17" customFormat="1" ht="22.5" customHeight="1">
      <c r="A176" s="18"/>
      <c r="B176" s="28"/>
      <c r="C176" s="29" t="s">
        <v>431</v>
      </c>
      <c r="D176" s="30"/>
      <c r="E176" s="39"/>
      <c r="F176" s="39"/>
      <c r="G176" s="33"/>
      <c r="H176" s="33"/>
      <c r="I176" s="34"/>
      <c r="J176" s="35"/>
      <c r="K176" s="36"/>
      <c r="M176" s="68"/>
      <c r="N176" s="45"/>
    </row>
    <row r="177" spans="1:14" s="17" customFormat="1" ht="22.5" customHeight="1">
      <c r="A177" s="18">
        <v>156</v>
      </c>
      <c r="B177" s="28" t="s">
        <v>271</v>
      </c>
      <c r="C177" s="29" t="s">
        <v>272</v>
      </c>
      <c r="D177" s="30" t="s">
        <v>12</v>
      </c>
      <c r="E177" s="39">
        <v>3</v>
      </c>
      <c r="F177" s="39">
        <f t="shared" si="13"/>
        <v>3</v>
      </c>
      <c r="G177" s="33">
        <v>1000</v>
      </c>
      <c r="H177" s="33">
        <v>1100</v>
      </c>
      <c r="I177" s="34">
        <f t="shared" si="11"/>
        <v>3300</v>
      </c>
      <c r="J177" s="35"/>
      <c r="K177" s="36"/>
      <c r="M177" s="68"/>
      <c r="N177" s="45"/>
    </row>
    <row r="178" spans="1:14" s="17" customFormat="1" ht="22.5" customHeight="1">
      <c r="A178" s="18">
        <f aca="true" t="shared" si="14" ref="A178:A184">A177+1</f>
        <v>157</v>
      </c>
      <c r="B178" s="28" t="s">
        <v>273</v>
      </c>
      <c r="C178" s="29" t="s">
        <v>274</v>
      </c>
      <c r="D178" s="30" t="s">
        <v>12</v>
      </c>
      <c r="E178" s="39">
        <v>4</v>
      </c>
      <c r="F178" s="39">
        <f t="shared" si="13"/>
        <v>4</v>
      </c>
      <c r="G178" s="33">
        <v>8500</v>
      </c>
      <c r="H178" s="33">
        <v>8800</v>
      </c>
      <c r="I178" s="34">
        <f t="shared" si="11"/>
        <v>35200</v>
      </c>
      <c r="J178" s="35"/>
      <c r="K178" s="36"/>
      <c r="M178" s="68"/>
      <c r="N178" s="45"/>
    </row>
    <row r="179" spans="1:20" s="17" customFormat="1" ht="22.5" customHeight="1">
      <c r="A179" s="18">
        <f t="shared" si="14"/>
        <v>158</v>
      </c>
      <c r="B179" s="28" t="s">
        <v>275</v>
      </c>
      <c r="C179" s="29" t="s">
        <v>276</v>
      </c>
      <c r="D179" s="30" t="s">
        <v>12</v>
      </c>
      <c r="E179" s="39">
        <v>4</v>
      </c>
      <c r="F179" s="39">
        <f t="shared" si="13"/>
        <v>4</v>
      </c>
      <c r="G179" s="33">
        <v>3000</v>
      </c>
      <c r="H179" s="33">
        <v>4400</v>
      </c>
      <c r="I179" s="34">
        <f t="shared" si="11"/>
        <v>17600</v>
      </c>
      <c r="J179" s="35"/>
      <c r="K179" s="36"/>
      <c r="M179" s="68"/>
      <c r="N179" s="45"/>
      <c r="O179" s="5"/>
      <c r="P179" s="5"/>
      <c r="Q179" s="5"/>
      <c r="R179" s="5"/>
      <c r="S179" s="5"/>
      <c r="T179" s="5"/>
    </row>
    <row r="180" spans="1:14" s="17" customFormat="1" ht="22.5" customHeight="1">
      <c r="A180" s="18">
        <f t="shared" si="14"/>
        <v>159</v>
      </c>
      <c r="B180" s="28" t="s">
        <v>277</v>
      </c>
      <c r="C180" s="29" t="s">
        <v>278</v>
      </c>
      <c r="D180" s="30" t="s">
        <v>12</v>
      </c>
      <c r="E180" s="39">
        <v>4</v>
      </c>
      <c r="F180" s="39">
        <f t="shared" si="13"/>
        <v>4</v>
      </c>
      <c r="G180" s="33">
        <v>7500</v>
      </c>
      <c r="H180" s="33">
        <v>7250</v>
      </c>
      <c r="I180" s="34">
        <f t="shared" si="11"/>
        <v>29000</v>
      </c>
      <c r="J180" s="35"/>
      <c r="K180" s="36"/>
      <c r="M180" s="68"/>
      <c r="N180" s="45"/>
    </row>
    <row r="181" spans="1:14" s="17" customFormat="1" ht="22.5" customHeight="1">
      <c r="A181" s="18">
        <f t="shared" si="14"/>
        <v>160</v>
      </c>
      <c r="B181" s="28" t="s">
        <v>432</v>
      </c>
      <c r="C181" s="29" t="s">
        <v>433</v>
      </c>
      <c r="D181" s="30" t="s">
        <v>12</v>
      </c>
      <c r="E181" s="39">
        <v>1</v>
      </c>
      <c r="F181" s="39">
        <f t="shared" si="13"/>
        <v>1</v>
      </c>
      <c r="G181" s="33"/>
      <c r="H181" s="33">
        <v>600</v>
      </c>
      <c r="I181" s="34">
        <f t="shared" si="11"/>
        <v>600</v>
      </c>
      <c r="J181" s="35"/>
      <c r="K181" s="36"/>
      <c r="M181" s="68"/>
      <c r="N181" s="45"/>
    </row>
    <row r="182" spans="1:14" s="17" customFormat="1" ht="22.5" customHeight="1">
      <c r="A182" s="18">
        <f t="shared" si="14"/>
        <v>161</v>
      </c>
      <c r="B182" s="28" t="s">
        <v>279</v>
      </c>
      <c r="C182" s="29" t="s">
        <v>280</v>
      </c>
      <c r="D182" s="30" t="s">
        <v>12</v>
      </c>
      <c r="E182" s="39">
        <v>28</v>
      </c>
      <c r="F182" s="39">
        <f t="shared" si="13"/>
        <v>28</v>
      </c>
      <c r="G182" s="33">
        <v>550</v>
      </c>
      <c r="H182" s="33">
        <v>600</v>
      </c>
      <c r="I182" s="34">
        <f t="shared" si="11"/>
        <v>16800</v>
      </c>
      <c r="J182" s="35"/>
      <c r="K182" s="36"/>
      <c r="M182" s="68"/>
      <c r="N182" s="45"/>
    </row>
    <row r="183" spans="1:14" s="17" customFormat="1" ht="22.5" customHeight="1">
      <c r="A183" s="18">
        <f t="shared" si="14"/>
        <v>162</v>
      </c>
      <c r="B183" s="28" t="s">
        <v>281</v>
      </c>
      <c r="C183" s="29" t="s">
        <v>282</v>
      </c>
      <c r="D183" s="30" t="s">
        <v>12</v>
      </c>
      <c r="E183" s="39">
        <v>12</v>
      </c>
      <c r="F183" s="39">
        <f t="shared" si="13"/>
        <v>12</v>
      </c>
      <c r="G183" s="33">
        <v>3500</v>
      </c>
      <c r="H183" s="33">
        <v>3600</v>
      </c>
      <c r="I183" s="34">
        <f t="shared" si="11"/>
        <v>43200</v>
      </c>
      <c r="J183" s="35"/>
      <c r="K183" s="36"/>
      <c r="M183" s="68"/>
      <c r="N183" s="45"/>
    </row>
    <row r="184" spans="1:14" s="17" customFormat="1" ht="22.5" customHeight="1" thickBot="1">
      <c r="A184" s="18">
        <f t="shared" si="14"/>
        <v>163</v>
      </c>
      <c r="B184" s="114" t="s">
        <v>434</v>
      </c>
      <c r="C184" s="115" t="s">
        <v>435</v>
      </c>
      <c r="D184" s="114" t="s">
        <v>12</v>
      </c>
      <c r="E184" s="116">
        <v>1</v>
      </c>
      <c r="F184" s="116">
        <f t="shared" si="13"/>
        <v>1</v>
      </c>
      <c r="G184" s="117"/>
      <c r="H184" s="117">
        <v>1500</v>
      </c>
      <c r="I184" s="111">
        <f t="shared" si="11"/>
        <v>1500</v>
      </c>
      <c r="J184" s="109"/>
      <c r="K184" s="110"/>
      <c r="M184" s="68"/>
      <c r="N184" s="45"/>
    </row>
    <row r="185" spans="1:16" ht="23.25" customHeight="1" thickBot="1" thickTop="1">
      <c r="A185" s="59"/>
      <c r="B185" s="60"/>
      <c r="C185" s="60"/>
      <c r="D185" s="60"/>
      <c r="E185" s="60"/>
      <c r="F185" s="101"/>
      <c r="G185" s="60"/>
      <c r="H185" s="62" t="s">
        <v>153</v>
      </c>
      <c r="I185" s="61">
        <f>SUM(I127:I184)</f>
        <v>1781895</v>
      </c>
      <c r="J185" s="15"/>
      <c r="K185" s="15"/>
      <c r="M185" s="41"/>
      <c r="N185" s="45"/>
      <c r="O185" s="17"/>
      <c r="P185" s="11"/>
    </row>
    <row r="186" spans="1:16" ht="23.25" customHeight="1" thickBot="1" thickTop="1">
      <c r="A186" s="342" t="s">
        <v>154</v>
      </c>
      <c r="B186" s="343"/>
      <c r="C186" s="343"/>
      <c r="D186" s="343"/>
      <c r="E186" s="343"/>
      <c r="F186" s="343"/>
      <c r="G186" s="343"/>
      <c r="H186" s="343"/>
      <c r="I186" s="344"/>
      <c r="J186" s="15"/>
      <c r="K186" s="15"/>
      <c r="M186" s="16"/>
      <c r="N186" s="16"/>
      <c r="O186" s="17"/>
      <c r="P186" s="11"/>
    </row>
    <row r="187" spans="1:16" ht="23.25" customHeight="1" thickTop="1">
      <c r="A187" s="18">
        <f>A184+1</f>
        <v>164</v>
      </c>
      <c r="B187" s="28" t="s">
        <v>156</v>
      </c>
      <c r="C187" s="29" t="s">
        <v>157</v>
      </c>
      <c r="D187" s="30" t="s">
        <v>11</v>
      </c>
      <c r="E187" s="39">
        <v>400</v>
      </c>
      <c r="F187" s="99">
        <f>E187</f>
        <v>400</v>
      </c>
      <c r="G187" s="64">
        <v>5.97</v>
      </c>
      <c r="H187" s="33">
        <v>6</v>
      </c>
      <c r="I187" s="25">
        <f aca="true" t="shared" si="15" ref="I187:I198">ROUNDUP(F187*H187,0)</f>
        <v>2400</v>
      </c>
      <c r="J187" s="26"/>
      <c r="K187" s="27"/>
      <c r="M187" s="69"/>
      <c r="N187" s="45"/>
      <c r="P187" s="11"/>
    </row>
    <row r="188" spans="1:16" s="17" customFormat="1" ht="23.25" customHeight="1">
      <c r="A188" s="18">
        <f aca="true" t="shared" si="16" ref="A188:A198">A187+1</f>
        <v>165</v>
      </c>
      <c r="B188" s="28" t="s">
        <v>158</v>
      </c>
      <c r="C188" s="29" t="s">
        <v>159</v>
      </c>
      <c r="D188" s="30" t="s">
        <v>11</v>
      </c>
      <c r="E188" s="39">
        <v>20255</v>
      </c>
      <c r="F188" s="100">
        <f>E188</f>
        <v>20255</v>
      </c>
      <c r="G188" s="64">
        <v>20.3</v>
      </c>
      <c r="H188" s="33">
        <v>23</v>
      </c>
      <c r="I188" s="34">
        <f t="shared" si="15"/>
        <v>465865</v>
      </c>
      <c r="J188" s="35"/>
      <c r="K188" s="113" t="s">
        <v>436</v>
      </c>
      <c r="M188" s="68"/>
      <c r="N188" s="45"/>
      <c r="P188" s="16"/>
    </row>
    <row r="189" spans="1:16" s="17" customFormat="1" ht="23.25" customHeight="1">
      <c r="A189" s="18">
        <f t="shared" si="16"/>
        <v>166</v>
      </c>
      <c r="B189" s="28" t="s">
        <v>160</v>
      </c>
      <c r="C189" s="37" t="s">
        <v>161</v>
      </c>
      <c r="D189" s="30" t="s">
        <v>12</v>
      </c>
      <c r="E189" s="39">
        <v>133</v>
      </c>
      <c r="F189" s="39">
        <f>E189</f>
        <v>133</v>
      </c>
      <c r="G189" s="64">
        <v>619.11</v>
      </c>
      <c r="H189" s="33">
        <v>650</v>
      </c>
      <c r="I189" s="34">
        <f t="shared" si="15"/>
        <v>86450</v>
      </c>
      <c r="J189" s="35"/>
      <c r="K189" s="36"/>
      <c r="M189" s="68"/>
      <c r="N189" s="45"/>
      <c r="P189" s="16"/>
    </row>
    <row r="190" spans="1:17" s="17" customFormat="1" ht="23.25" customHeight="1">
      <c r="A190" s="18">
        <f t="shared" si="16"/>
        <v>167</v>
      </c>
      <c r="B190" s="28" t="s">
        <v>162</v>
      </c>
      <c r="C190" s="37" t="s">
        <v>163</v>
      </c>
      <c r="D190" s="30" t="s">
        <v>34</v>
      </c>
      <c r="E190" s="39">
        <v>2</v>
      </c>
      <c r="F190" s="39">
        <f aca="true" t="shared" si="17" ref="F190:F198">E190</f>
        <v>2</v>
      </c>
      <c r="G190" s="64">
        <v>2185.31</v>
      </c>
      <c r="H190" s="33">
        <v>2500</v>
      </c>
      <c r="I190" s="34">
        <f t="shared" si="15"/>
        <v>5000</v>
      </c>
      <c r="J190" s="35"/>
      <c r="K190" s="36"/>
      <c r="M190" s="68"/>
      <c r="N190" s="45"/>
      <c r="Q190" s="16"/>
    </row>
    <row r="191" spans="1:17" s="17" customFormat="1" ht="23.25" customHeight="1">
      <c r="A191" s="18">
        <f t="shared" si="16"/>
        <v>168</v>
      </c>
      <c r="B191" s="28" t="s">
        <v>219</v>
      </c>
      <c r="C191" s="37" t="s">
        <v>220</v>
      </c>
      <c r="D191" s="30" t="s">
        <v>11</v>
      </c>
      <c r="E191" s="39">
        <v>20</v>
      </c>
      <c r="F191" s="39">
        <f t="shared" si="17"/>
        <v>20</v>
      </c>
      <c r="G191" s="64"/>
      <c r="H191" s="33">
        <v>6.5</v>
      </c>
      <c r="I191" s="34">
        <f t="shared" si="15"/>
        <v>130</v>
      </c>
      <c r="J191" s="35"/>
      <c r="K191" s="36"/>
      <c r="M191" s="68"/>
      <c r="N191" s="45"/>
      <c r="Q191" s="16"/>
    </row>
    <row r="192" spans="1:17" s="17" customFormat="1" ht="23.25" customHeight="1">
      <c r="A192" s="18">
        <f t="shared" si="16"/>
        <v>169</v>
      </c>
      <c r="B192" s="28" t="s">
        <v>357</v>
      </c>
      <c r="C192" s="37" t="s">
        <v>358</v>
      </c>
      <c r="D192" s="30" t="s">
        <v>12</v>
      </c>
      <c r="E192" s="39">
        <v>2</v>
      </c>
      <c r="F192" s="39">
        <f t="shared" si="17"/>
        <v>2</v>
      </c>
      <c r="G192" s="64"/>
      <c r="H192" s="33">
        <v>1400</v>
      </c>
      <c r="I192" s="34">
        <f t="shared" si="15"/>
        <v>2800</v>
      </c>
      <c r="J192" s="35"/>
      <c r="K192" s="36"/>
      <c r="M192" s="68"/>
      <c r="N192" s="45"/>
      <c r="Q192" s="16"/>
    </row>
    <row r="193" spans="1:18" s="17" customFormat="1" ht="23.25" customHeight="1">
      <c r="A193" s="18">
        <f t="shared" si="16"/>
        <v>170</v>
      </c>
      <c r="B193" s="28" t="s">
        <v>164</v>
      </c>
      <c r="C193" s="37" t="s">
        <v>165</v>
      </c>
      <c r="D193" s="30" t="s">
        <v>11</v>
      </c>
      <c r="E193" s="39">
        <v>70229</v>
      </c>
      <c r="F193" s="39">
        <f t="shared" si="17"/>
        <v>70229</v>
      </c>
      <c r="G193" s="64">
        <v>1.26</v>
      </c>
      <c r="H193" s="33">
        <v>1.3</v>
      </c>
      <c r="I193" s="34">
        <f t="shared" si="15"/>
        <v>91298</v>
      </c>
      <c r="J193" s="35"/>
      <c r="K193" s="36"/>
      <c r="M193" s="68"/>
      <c r="N193" s="45"/>
      <c r="O193" s="70"/>
      <c r="Q193" s="63"/>
      <c r="R193" s="71"/>
    </row>
    <row r="194" spans="1:18" s="17" customFormat="1" ht="23.25" customHeight="1">
      <c r="A194" s="18">
        <f t="shared" si="16"/>
        <v>171</v>
      </c>
      <c r="B194" s="28" t="s">
        <v>355</v>
      </c>
      <c r="C194" s="37" t="s">
        <v>356</v>
      </c>
      <c r="D194" s="30" t="s">
        <v>12</v>
      </c>
      <c r="E194" s="39">
        <v>1</v>
      </c>
      <c r="F194" s="39">
        <f t="shared" si="17"/>
        <v>1</v>
      </c>
      <c r="G194" s="64"/>
      <c r="H194" s="33">
        <v>5800</v>
      </c>
      <c r="I194" s="34">
        <f t="shared" si="15"/>
        <v>5800</v>
      </c>
      <c r="J194" s="35"/>
      <c r="K194" s="36"/>
      <c r="M194" s="68"/>
      <c r="N194" s="45"/>
      <c r="O194" s="70"/>
      <c r="Q194" s="63"/>
      <c r="R194" s="71"/>
    </row>
    <row r="195" spans="1:19" s="17" customFormat="1" ht="23.25" customHeight="1">
      <c r="A195" s="18">
        <f t="shared" si="16"/>
        <v>172</v>
      </c>
      <c r="B195" s="28" t="s">
        <v>166</v>
      </c>
      <c r="C195" s="37" t="s">
        <v>167</v>
      </c>
      <c r="D195" s="30" t="s">
        <v>12</v>
      </c>
      <c r="E195" s="39">
        <v>123</v>
      </c>
      <c r="F195" s="39">
        <f t="shared" si="17"/>
        <v>123</v>
      </c>
      <c r="G195" s="64">
        <v>5052</v>
      </c>
      <c r="H195" s="33">
        <v>5100</v>
      </c>
      <c r="I195" s="34">
        <f t="shared" si="15"/>
        <v>627300</v>
      </c>
      <c r="J195" s="35"/>
      <c r="K195" s="36"/>
      <c r="M195" s="68"/>
      <c r="N195" s="45"/>
      <c r="Q195" s="63"/>
      <c r="R195" s="71"/>
      <c r="S195" s="5"/>
    </row>
    <row r="196" spans="1:20" s="17" customFormat="1" ht="23.25" customHeight="1">
      <c r="A196" s="18">
        <f t="shared" si="16"/>
        <v>173</v>
      </c>
      <c r="B196" s="28" t="s">
        <v>168</v>
      </c>
      <c r="C196" s="37" t="s">
        <v>169</v>
      </c>
      <c r="D196" s="30" t="s">
        <v>12</v>
      </c>
      <c r="E196" s="39">
        <v>2</v>
      </c>
      <c r="F196" s="39">
        <f t="shared" si="17"/>
        <v>2</v>
      </c>
      <c r="G196" s="64">
        <v>11879.01</v>
      </c>
      <c r="H196" s="33">
        <v>12600</v>
      </c>
      <c r="I196" s="34">
        <f t="shared" si="15"/>
        <v>25200</v>
      </c>
      <c r="J196" s="35"/>
      <c r="K196" s="36"/>
      <c r="M196" s="68"/>
      <c r="N196" s="45"/>
      <c r="P196" s="5"/>
      <c r="T196" s="5"/>
    </row>
    <row r="197" spans="1:20" s="17" customFormat="1" ht="23.25" customHeight="1">
      <c r="A197" s="18">
        <f t="shared" si="16"/>
        <v>174</v>
      </c>
      <c r="B197" s="28" t="s">
        <v>170</v>
      </c>
      <c r="C197" s="29" t="s">
        <v>171</v>
      </c>
      <c r="D197" s="30" t="s">
        <v>12</v>
      </c>
      <c r="E197" s="39">
        <v>4</v>
      </c>
      <c r="F197" s="39">
        <f t="shared" si="17"/>
        <v>4</v>
      </c>
      <c r="G197" s="64">
        <v>999.6</v>
      </c>
      <c r="H197" s="33">
        <v>1050</v>
      </c>
      <c r="I197" s="34">
        <f t="shared" si="15"/>
        <v>4200</v>
      </c>
      <c r="J197" s="35"/>
      <c r="K197" s="36"/>
      <c r="M197" s="68"/>
      <c r="N197" s="45"/>
      <c r="P197" s="5"/>
      <c r="Q197" s="72"/>
      <c r="T197" s="5"/>
    </row>
    <row r="198" spans="1:20" s="17" customFormat="1" ht="23.25" customHeight="1" thickBot="1">
      <c r="A198" s="18">
        <f t="shared" si="16"/>
        <v>175</v>
      </c>
      <c r="B198" s="28" t="s">
        <v>172</v>
      </c>
      <c r="C198" s="29" t="s">
        <v>173</v>
      </c>
      <c r="D198" s="30" t="s">
        <v>12</v>
      </c>
      <c r="E198" s="39">
        <v>124</v>
      </c>
      <c r="F198" s="39">
        <f t="shared" si="17"/>
        <v>124</v>
      </c>
      <c r="G198" s="64">
        <v>509.12</v>
      </c>
      <c r="H198" s="33">
        <v>510</v>
      </c>
      <c r="I198" s="34">
        <f t="shared" si="15"/>
        <v>63240</v>
      </c>
      <c r="J198" s="35"/>
      <c r="K198" s="36"/>
      <c r="M198" s="68"/>
      <c r="N198" s="45"/>
      <c r="P198" s="67"/>
      <c r="T198" s="5"/>
    </row>
    <row r="199" spans="1:16" ht="23.25" customHeight="1" thickBot="1" thickTop="1">
      <c r="A199" s="59"/>
      <c r="B199" s="60"/>
      <c r="C199" s="60"/>
      <c r="D199" s="60"/>
      <c r="E199" s="60"/>
      <c r="F199" s="101"/>
      <c r="G199" s="60"/>
      <c r="H199" s="62" t="s">
        <v>487</v>
      </c>
      <c r="I199" s="61">
        <f>SUM(I187:I198)</f>
        <v>1379683</v>
      </c>
      <c r="J199" s="15"/>
      <c r="K199" s="15"/>
      <c r="M199" s="41"/>
      <c r="N199" s="45"/>
      <c r="O199" s="17"/>
      <c r="P199" s="11"/>
    </row>
    <row r="200" spans="1:16" ht="23.25" customHeight="1" thickBot="1" thickTop="1">
      <c r="A200" s="354" t="s">
        <v>43</v>
      </c>
      <c r="B200" s="343"/>
      <c r="C200" s="343"/>
      <c r="D200" s="343"/>
      <c r="E200" s="343"/>
      <c r="F200" s="343"/>
      <c r="G200" s="343"/>
      <c r="H200" s="343"/>
      <c r="I200" s="355"/>
      <c r="J200" s="15"/>
      <c r="K200" s="15"/>
      <c r="M200" s="16"/>
      <c r="O200" s="17"/>
      <c r="P200" s="11"/>
    </row>
    <row r="201" spans="1:14" s="17" customFormat="1" ht="22.5" customHeight="1" thickBot="1" thickTop="1">
      <c r="A201" s="18">
        <f>A198+1</f>
        <v>176</v>
      </c>
      <c r="B201" s="42"/>
      <c r="C201" s="37" t="s">
        <v>486</v>
      </c>
      <c r="D201" s="43" t="s">
        <v>9</v>
      </c>
      <c r="E201" s="43">
        <v>1</v>
      </c>
      <c r="F201" s="102">
        <v>1</v>
      </c>
      <c r="G201" s="43"/>
      <c r="H201" s="44">
        <f>_xlfn.CEILING.MATH(0.1*N201)</f>
        <v>1886505</v>
      </c>
      <c r="I201" s="34">
        <f>ROUNDUP(F201*H201,0)</f>
        <v>1886505</v>
      </c>
      <c r="J201" s="120"/>
      <c r="K201" s="36"/>
      <c r="M201" s="118" t="s">
        <v>283</v>
      </c>
      <c r="N201" s="72">
        <f>I84+I95+I125+I185+I199</f>
        <v>18865045</v>
      </c>
    </row>
    <row r="202" spans="1:16" ht="23.25" customHeight="1" thickBot="1" thickTop="1">
      <c r="A202" s="59"/>
      <c r="B202" s="60"/>
      <c r="C202" s="60"/>
      <c r="D202" s="60"/>
      <c r="E202" s="60"/>
      <c r="F202" s="101"/>
      <c r="G202" s="60"/>
      <c r="H202" s="62" t="s">
        <v>349</v>
      </c>
      <c r="I202" s="61">
        <f>N201+I201</f>
        <v>20751550</v>
      </c>
      <c r="J202" s="15"/>
      <c r="K202" s="121"/>
      <c r="M202" s="68"/>
      <c r="N202" s="45"/>
      <c r="O202" s="17"/>
      <c r="P202" s="11"/>
    </row>
    <row r="203" spans="1:9" ht="19.5" customHeight="1" thickTop="1">
      <c r="A203" s="2" t="s">
        <v>35</v>
      </c>
      <c r="I203" s="80"/>
    </row>
    <row r="204" ht="19.5" customHeight="1" thickBot="1">
      <c r="I204" s="80"/>
    </row>
    <row r="205" spans="1:16" ht="23.25" customHeight="1" thickBot="1" thickTop="1">
      <c r="A205" s="342" t="s">
        <v>359</v>
      </c>
      <c r="B205" s="343"/>
      <c r="C205" s="343"/>
      <c r="D205" s="343"/>
      <c r="E205" s="343"/>
      <c r="F205" s="343"/>
      <c r="G205" s="343"/>
      <c r="H205" s="343"/>
      <c r="I205" s="344"/>
      <c r="J205" s="15"/>
      <c r="K205" s="15"/>
      <c r="M205" s="16"/>
      <c r="N205" s="16"/>
      <c r="O205" s="17"/>
      <c r="P205" s="11"/>
    </row>
    <row r="206" spans="1:16" ht="23.25" customHeight="1" thickTop="1">
      <c r="A206" s="359" t="s">
        <v>360</v>
      </c>
      <c r="B206" s="360"/>
      <c r="C206" s="360"/>
      <c r="D206" s="360"/>
      <c r="E206" s="360"/>
      <c r="F206" s="360"/>
      <c r="G206" s="360"/>
      <c r="H206" s="361"/>
      <c r="I206" s="34">
        <v>4281231</v>
      </c>
      <c r="J206" s="26"/>
      <c r="K206" s="27"/>
      <c r="M206" s="69"/>
      <c r="N206" s="45"/>
      <c r="P206" s="11"/>
    </row>
    <row r="207" spans="1:16" ht="23.25" customHeight="1">
      <c r="A207" s="362" t="s">
        <v>361</v>
      </c>
      <c r="B207" s="363"/>
      <c r="C207" s="363"/>
      <c r="D207" s="363"/>
      <c r="E207" s="363"/>
      <c r="F207" s="363"/>
      <c r="G207" s="363"/>
      <c r="H207" s="364"/>
      <c r="I207" s="34">
        <v>768638</v>
      </c>
      <c r="J207" s="15"/>
      <c r="K207" s="107"/>
      <c r="M207" s="69"/>
      <c r="N207" s="45"/>
      <c r="P207" s="11"/>
    </row>
    <row r="208" spans="1:16" ht="23.25" customHeight="1" thickBot="1">
      <c r="A208" s="365" t="s">
        <v>362</v>
      </c>
      <c r="B208" s="366"/>
      <c r="C208" s="366"/>
      <c r="D208" s="366"/>
      <c r="E208" s="366"/>
      <c r="F208" s="366"/>
      <c r="G208" s="366"/>
      <c r="H208" s="367"/>
      <c r="I208" s="34">
        <v>1987056</v>
      </c>
      <c r="J208" s="15"/>
      <c r="K208" s="107"/>
      <c r="M208" s="69"/>
      <c r="N208" s="45"/>
      <c r="P208" s="11"/>
    </row>
    <row r="209" spans="1:16" ht="23.25" customHeight="1" thickBot="1" thickTop="1">
      <c r="A209" s="59"/>
      <c r="B209" s="60"/>
      <c r="C209" s="60"/>
      <c r="D209" s="60"/>
      <c r="E209" s="60"/>
      <c r="F209" s="101"/>
      <c r="G209" s="60"/>
      <c r="H209" s="62" t="s">
        <v>363</v>
      </c>
      <c r="I209" s="61">
        <f>SUM(I206:I208)</f>
        <v>7036925</v>
      </c>
      <c r="J209" s="15"/>
      <c r="K209" s="15"/>
      <c r="M209" s="41"/>
      <c r="O209" s="17"/>
      <c r="P209" s="11"/>
    </row>
    <row r="210" spans="1:9" ht="19.5" customHeight="1" thickTop="1">
      <c r="A210" s="2" t="s">
        <v>488</v>
      </c>
      <c r="I210" s="80"/>
    </row>
    <row r="211" ht="19.5" customHeight="1" thickBot="1">
      <c r="I211" s="80"/>
    </row>
    <row r="212" spans="1:9" ht="19.5" customHeight="1" thickTop="1">
      <c r="A212" s="368" t="s">
        <v>145</v>
      </c>
      <c r="B212" s="369"/>
      <c r="C212" s="372" t="s">
        <v>146</v>
      </c>
      <c r="D212" s="373"/>
      <c r="E212" s="373"/>
      <c r="F212" s="373"/>
      <c r="G212" s="373"/>
      <c r="H212" s="374"/>
      <c r="I212" s="81">
        <v>6703000</v>
      </c>
    </row>
    <row r="213" spans="1:9" ht="19.5" customHeight="1">
      <c r="A213" s="370"/>
      <c r="B213" s="371"/>
      <c r="C213" s="375" t="s">
        <v>142</v>
      </c>
      <c r="D213" s="376"/>
      <c r="E213" s="376"/>
      <c r="F213" s="376"/>
      <c r="G213" s="376"/>
      <c r="H213" s="377"/>
      <c r="I213" s="82">
        <v>991400</v>
      </c>
    </row>
    <row r="214" spans="1:9" ht="19.5" customHeight="1" thickBot="1">
      <c r="A214" s="387"/>
      <c r="B214" s="388"/>
      <c r="C214" s="375" t="s">
        <v>143</v>
      </c>
      <c r="D214" s="376"/>
      <c r="E214" s="376"/>
      <c r="F214" s="376"/>
      <c r="G214" s="376"/>
      <c r="H214" s="377"/>
      <c r="I214" s="82">
        <v>0</v>
      </c>
    </row>
    <row r="215" spans="1:9" ht="19.5" customHeight="1" thickBot="1" thickTop="1">
      <c r="A215" s="384" t="s">
        <v>144</v>
      </c>
      <c r="B215" s="385"/>
      <c r="C215" s="385"/>
      <c r="D215" s="385"/>
      <c r="E215" s="385"/>
      <c r="F215" s="385"/>
      <c r="G215" s="385"/>
      <c r="H215" s="386"/>
      <c r="I215" s="61">
        <f>+I202+I209+I212+I213+I214</f>
        <v>35482875</v>
      </c>
    </row>
    <row r="216" ht="15.75" thickTop="1"/>
    <row r="217" spans="1:10" ht="19.5" customHeight="1">
      <c r="A217" s="48" t="str">
        <f ca="1">CELL("FILENAME")</f>
        <v>S:\Bids, Proposals, Quotes\2024\24-TA005076JH IFBC Honore avenue at Old Farm Road Intersection Improvements\Solicitation Documents\Addendums\[24-TA005076JH  Addendum 1, Appendix L - Bid Pricing Form (Revised).xls]Appendix L</v>
      </c>
      <c r="B217" s="48"/>
      <c r="C217" s="49"/>
      <c r="D217" s="49"/>
      <c r="E217" s="49"/>
      <c r="F217" s="103"/>
      <c r="G217" s="50"/>
      <c r="H217" s="49"/>
      <c r="I217" s="51" t="s">
        <v>0</v>
      </c>
      <c r="J217" s="49"/>
    </row>
    <row r="218" ht="19.5" customHeight="1">
      <c r="C218" s="53"/>
    </row>
    <row r="219" spans="6:13" ht="19.5" customHeight="1">
      <c r="F219" s="104"/>
      <c r="G219" s="2"/>
      <c r="I219" s="53"/>
      <c r="J219" s="55"/>
      <c r="L219" s="4"/>
      <c r="M219" s="4"/>
    </row>
    <row r="220" spans="1:10" ht="19.5" customHeight="1">
      <c r="A220" s="54"/>
      <c r="B220" s="54"/>
      <c r="C220" s="54"/>
      <c r="D220" s="54"/>
      <c r="E220" s="54"/>
      <c r="F220" s="105"/>
      <c r="G220" s="54"/>
      <c r="H220" s="54"/>
      <c r="I220" s="53"/>
      <c r="J220" s="55"/>
    </row>
    <row r="221" spans="1:10" ht="19.5" customHeight="1">
      <c r="A221" s="54"/>
      <c r="B221" s="54"/>
      <c r="C221" s="54"/>
      <c r="D221" s="54"/>
      <c r="E221" s="54"/>
      <c r="F221" s="105"/>
      <c r="G221" s="54"/>
      <c r="H221" s="54"/>
      <c r="I221" s="53"/>
      <c r="J221" s="55"/>
    </row>
    <row r="222" spans="1:8" ht="19.5" customHeight="1">
      <c r="A222" s="53"/>
      <c r="B222" s="53"/>
      <c r="C222" s="53"/>
      <c r="D222" s="53"/>
      <c r="E222" s="53"/>
      <c r="F222" s="106"/>
      <c r="G222" s="53"/>
      <c r="H222" s="53"/>
    </row>
    <row r="223" spans="1:8" ht="19.5" customHeight="1">
      <c r="A223" s="53"/>
      <c r="B223" s="53"/>
      <c r="C223" s="53"/>
      <c r="D223" s="53"/>
      <c r="E223" s="53"/>
      <c r="F223" s="106"/>
      <c r="G223" s="53"/>
      <c r="H223" s="53"/>
    </row>
    <row r="224" spans="1:8" ht="19.5" customHeight="1">
      <c r="A224" s="53"/>
      <c r="B224" s="53"/>
      <c r="C224" s="53"/>
      <c r="D224" s="53"/>
      <c r="E224" s="53"/>
      <c r="F224" s="106"/>
      <c r="G224" s="53"/>
      <c r="H224" s="53"/>
    </row>
    <row r="225" spans="1:8" ht="19.5" customHeight="1">
      <c r="A225" s="53"/>
      <c r="B225" s="53"/>
      <c r="C225" s="53"/>
      <c r="D225" s="53"/>
      <c r="E225" s="53"/>
      <c r="F225" s="106"/>
      <c r="G225" s="53"/>
      <c r="H225" s="53"/>
    </row>
    <row r="226" spans="1:14" ht="19.5" customHeight="1">
      <c r="A226" s="53"/>
      <c r="B226" s="53"/>
      <c r="C226" s="53"/>
      <c r="D226" s="53"/>
      <c r="E226" s="53"/>
      <c r="F226" s="106"/>
      <c r="G226" s="53"/>
      <c r="H226" s="53"/>
      <c r="N226" s="56"/>
    </row>
    <row r="227" spans="1:14" ht="19.5" customHeight="1">
      <c r="A227" s="53"/>
      <c r="B227" s="53"/>
      <c r="C227" s="53"/>
      <c r="D227" s="53"/>
      <c r="E227" s="53"/>
      <c r="F227" s="106"/>
      <c r="G227" s="53"/>
      <c r="H227" s="53"/>
      <c r="N227" s="56"/>
    </row>
    <row r="228" spans="1:14" ht="19.5" customHeight="1">
      <c r="A228" s="53"/>
      <c r="B228" s="53"/>
      <c r="C228" s="53"/>
      <c r="D228" s="53"/>
      <c r="E228" s="53"/>
      <c r="F228" s="106"/>
      <c r="G228" s="53"/>
      <c r="H228" s="53"/>
      <c r="N228" s="56"/>
    </row>
    <row r="229" spans="1:14" ht="19.5" customHeight="1">
      <c r="A229" s="57"/>
      <c r="B229" s="57"/>
      <c r="C229" s="57"/>
      <c r="D229" s="57"/>
      <c r="E229" s="57"/>
      <c r="F229" s="106"/>
      <c r="G229" s="57"/>
      <c r="H229" s="57"/>
      <c r="N229" s="56"/>
    </row>
    <row r="230" spans="1:14" ht="19.5" customHeight="1">
      <c r="A230" s="53"/>
      <c r="B230" s="53"/>
      <c r="C230" s="53"/>
      <c r="D230" s="53"/>
      <c r="E230" s="53"/>
      <c r="F230" s="106"/>
      <c r="G230" s="53"/>
      <c r="H230" s="53"/>
      <c r="N230" s="56"/>
    </row>
    <row r="231" spans="1:14" ht="19.5" customHeight="1">
      <c r="A231" s="53"/>
      <c r="B231" s="53"/>
      <c r="C231" s="53"/>
      <c r="D231" s="53"/>
      <c r="E231" s="53"/>
      <c r="F231" s="106"/>
      <c r="G231" s="53"/>
      <c r="H231" s="53"/>
      <c r="N231" s="56"/>
    </row>
    <row r="232" spans="1:14" ht="19.5" customHeight="1">
      <c r="A232" s="53"/>
      <c r="B232" s="53"/>
      <c r="C232" s="53"/>
      <c r="D232" s="53"/>
      <c r="E232" s="53"/>
      <c r="F232" s="106"/>
      <c r="G232" s="53"/>
      <c r="H232" s="53"/>
      <c r="N232" s="56"/>
    </row>
    <row r="233" spans="1:14" ht="19.5" customHeight="1">
      <c r="A233" s="53"/>
      <c r="B233" s="53"/>
      <c r="H233" s="58"/>
      <c r="N233" s="56"/>
    </row>
    <row r="234" spans="1:14" ht="19.5" customHeight="1">
      <c r="A234" s="53"/>
      <c r="B234" s="53"/>
      <c r="H234" s="58"/>
      <c r="N234" s="56"/>
    </row>
    <row r="235" spans="1:14" ht="19.5" customHeight="1">
      <c r="A235" s="53"/>
      <c r="B235" s="53"/>
      <c r="H235" s="58"/>
      <c r="N235" s="56"/>
    </row>
    <row r="236" spans="1:14" ht="19.5" customHeight="1">
      <c r="A236" s="53"/>
      <c r="B236" s="53"/>
      <c r="H236" s="58"/>
      <c r="N236" s="56"/>
    </row>
    <row r="237" spans="1:14" ht="19.5" customHeight="1">
      <c r="A237" s="53"/>
      <c r="B237" s="53"/>
      <c r="H237" s="58"/>
      <c r="N237" s="56"/>
    </row>
    <row r="238" spans="1:14" ht="15">
      <c r="A238" s="53"/>
      <c r="B238" s="53"/>
      <c r="H238" s="58"/>
      <c r="N238" s="56"/>
    </row>
    <row r="239" spans="1:14" ht="15">
      <c r="A239" s="53"/>
      <c r="B239" s="53"/>
      <c r="H239" s="58"/>
      <c r="N239" s="56"/>
    </row>
    <row r="240" spans="1:14" ht="15">
      <c r="A240" s="53"/>
      <c r="B240" s="53"/>
      <c r="H240" s="58"/>
      <c r="N240" s="56"/>
    </row>
    <row r="241" spans="1:14" ht="15">
      <c r="A241" s="53"/>
      <c r="B241" s="53"/>
      <c r="H241" s="58"/>
      <c r="N241" s="56"/>
    </row>
    <row r="242" spans="1:14" ht="15">
      <c r="A242" s="53"/>
      <c r="B242" s="53"/>
      <c r="H242" s="58"/>
      <c r="N242" s="56"/>
    </row>
    <row r="243" spans="1:14" ht="15">
      <c r="A243" s="53"/>
      <c r="B243" s="53"/>
      <c r="N243" s="56"/>
    </row>
    <row r="244" spans="1:14" ht="15">
      <c r="A244" s="53"/>
      <c r="B244" s="53"/>
      <c r="N244" s="56"/>
    </row>
    <row r="245" spans="1:14" ht="15">
      <c r="A245" s="53"/>
      <c r="B245" s="53"/>
      <c r="N245" s="56"/>
    </row>
    <row r="246" spans="1:14" ht="15">
      <c r="A246" s="53"/>
      <c r="B246" s="53"/>
      <c r="N246" s="56"/>
    </row>
    <row r="247" spans="1:14" ht="15">
      <c r="A247" s="53"/>
      <c r="B247" s="53"/>
      <c r="N247" s="56"/>
    </row>
    <row r="248" spans="1:14" ht="15">
      <c r="A248" s="53"/>
      <c r="B248" s="53"/>
      <c r="N248" s="56"/>
    </row>
    <row r="249" spans="1:14" ht="15">
      <c r="A249" s="53"/>
      <c r="B249" s="53"/>
      <c r="N249" s="56"/>
    </row>
    <row r="250" spans="1:14" ht="15">
      <c r="A250" s="53"/>
      <c r="B250" s="53"/>
      <c r="N250" s="56"/>
    </row>
    <row r="251" spans="1:14" ht="15">
      <c r="A251" s="53"/>
      <c r="B251" s="53"/>
      <c r="N251" s="56"/>
    </row>
    <row r="252" spans="1:14" ht="15">
      <c r="A252" s="53"/>
      <c r="B252" s="53"/>
      <c r="N252" s="56"/>
    </row>
    <row r="253" spans="1:14" ht="15">
      <c r="A253" s="53"/>
      <c r="B253" s="53"/>
      <c r="N253" s="56"/>
    </row>
    <row r="254" spans="1:14" ht="15">
      <c r="A254" s="53"/>
      <c r="B254" s="53"/>
      <c r="N254" s="56"/>
    </row>
    <row r="255" spans="1:14" ht="15">
      <c r="A255" s="53"/>
      <c r="B255" s="53"/>
      <c r="N255" s="56"/>
    </row>
    <row r="256" spans="1:14" ht="15">
      <c r="A256" s="53"/>
      <c r="B256" s="53"/>
      <c r="N256" s="56"/>
    </row>
    <row r="257" spans="1:14" ht="15">
      <c r="A257" s="53"/>
      <c r="B257" s="53"/>
      <c r="N257" s="56"/>
    </row>
    <row r="258" spans="1:14" ht="15">
      <c r="A258" s="53"/>
      <c r="B258" s="53"/>
      <c r="N258" s="56"/>
    </row>
    <row r="259" spans="1:14" ht="15">
      <c r="A259" s="53"/>
      <c r="B259" s="53"/>
      <c r="N259" s="56"/>
    </row>
    <row r="260" spans="1:14" ht="15">
      <c r="A260" s="53"/>
      <c r="B260" s="53"/>
      <c r="N260" s="56"/>
    </row>
    <row r="261" spans="1:14" ht="15">
      <c r="A261" s="53"/>
      <c r="B261" s="53"/>
      <c r="N261" s="56"/>
    </row>
    <row r="262" spans="1:14" ht="15">
      <c r="A262" s="53"/>
      <c r="B262" s="53"/>
      <c r="N262" s="56"/>
    </row>
    <row r="263" spans="1:14" ht="15">
      <c r="A263" s="53"/>
      <c r="B263" s="53"/>
      <c r="N263" s="56"/>
    </row>
    <row r="264" spans="1:14" ht="15">
      <c r="A264" s="53"/>
      <c r="B264" s="53"/>
      <c r="N264" s="56"/>
    </row>
    <row r="265" spans="1:14" ht="15">
      <c r="A265" s="53"/>
      <c r="B265" s="53"/>
      <c r="N265" s="56"/>
    </row>
    <row r="266" spans="1:14" ht="15">
      <c r="A266" s="53"/>
      <c r="B266" s="53"/>
      <c r="N266" s="56"/>
    </row>
    <row r="267" spans="1:14" ht="15">
      <c r="A267" s="53"/>
      <c r="B267" s="53"/>
      <c r="N267" s="56"/>
    </row>
    <row r="268" spans="1:14" ht="15">
      <c r="A268" s="53"/>
      <c r="B268" s="53"/>
      <c r="N268" s="56"/>
    </row>
    <row r="269" spans="1:14" ht="15">
      <c r="A269" s="53"/>
      <c r="B269" s="53"/>
      <c r="N269" s="56"/>
    </row>
    <row r="270" spans="1:14" ht="15">
      <c r="A270" s="53"/>
      <c r="B270" s="53"/>
      <c r="N270" s="56"/>
    </row>
    <row r="271" spans="1:14" ht="15">
      <c r="A271" s="57"/>
      <c r="B271" s="57"/>
      <c r="N271" s="56"/>
    </row>
    <row r="272" spans="1:14" ht="15">
      <c r="A272" s="53"/>
      <c r="B272" s="53"/>
      <c r="N272" s="56"/>
    </row>
    <row r="273" spans="1:14" ht="15">
      <c r="A273" s="53"/>
      <c r="B273" s="53"/>
      <c r="N273" s="56"/>
    </row>
    <row r="274" spans="1:14" ht="15">
      <c r="A274" s="53"/>
      <c r="B274" s="53"/>
      <c r="N274" s="56"/>
    </row>
    <row r="275" spans="1:14" ht="15">
      <c r="A275" s="53"/>
      <c r="B275" s="53"/>
      <c r="N275" s="56"/>
    </row>
    <row r="276" spans="1:14" ht="15">
      <c r="A276" s="53"/>
      <c r="B276" s="53"/>
      <c r="N276" s="56"/>
    </row>
    <row r="277" spans="1:14" ht="15">
      <c r="A277" s="53"/>
      <c r="B277" s="53"/>
      <c r="N277" s="56"/>
    </row>
    <row r="278" spans="1:14" ht="15">
      <c r="A278" s="53"/>
      <c r="B278" s="53"/>
      <c r="N278" s="56"/>
    </row>
    <row r="279" spans="1:14" ht="15">
      <c r="A279" s="53"/>
      <c r="B279" s="53"/>
      <c r="N279" s="56"/>
    </row>
    <row r="280" spans="1:14" ht="15">
      <c r="A280" s="53"/>
      <c r="B280" s="53"/>
      <c r="N280" s="56"/>
    </row>
    <row r="281" spans="1:14" ht="15">
      <c r="A281" s="53"/>
      <c r="B281" s="53"/>
      <c r="N281" s="56"/>
    </row>
    <row r="282" spans="1:14" ht="15">
      <c r="A282" s="53"/>
      <c r="B282" s="53"/>
      <c r="N282" s="56"/>
    </row>
    <row r="283" spans="1:14" ht="15">
      <c r="A283" s="53"/>
      <c r="B283" s="53"/>
      <c r="N283" s="56"/>
    </row>
    <row r="284" spans="1:14" ht="15">
      <c r="A284" s="53"/>
      <c r="B284" s="53"/>
      <c r="N284" s="56"/>
    </row>
    <row r="285" spans="1:14" ht="15">
      <c r="A285" s="53"/>
      <c r="B285" s="53"/>
      <c r="N285" s="56"/>
    </row>
    <row r="286" spans="1:14" ht="15">
      <c r="A286" s="53"/>
      <c r="B286" s="53"/>
      <c r="N286" s="56"/>
    </row>
    <row r="287" spans="1:14" ht="15">
      <c r="A287" s="53"/>
      <c r="B287" s="53"/>
      <c r="N287" s="56"/>
    </row>
    <row r="288" spans="1:14" ht="15">
      <c r="A288" s="53"/>
      <c r="B288" s="53"/>
      <c r="N288" s="56"/>
    </row>
    <row r="289" spans="1:14" ht="15">
      <c r="A289" s="53"/>
      <c r="B289" s="53"/>
      <c r="N289" s="56"/>
    </row>
    <row r="290" spans="1:14" ht="15">
      <c r="A290" s="53"/>
      <c r="B290" s="53"/>
      <c r="N290" s="56"/>
    </row>
    <row r="291" spans="1:14" ht="15">
      <c r="A291" s="53"/>
      <c r="B291" s="53"/>
      <c r="N291" s="56"/>
    </row>
    <row r="292" spans="1:14" ht="15">
      <c r="A292" s="53"/>
      <c r="B292" s="53"/>
      <c r="N292" s="56"/>
    </row>
    <row r="293" spans="1:14" ht="15">
      <c r="A293" s="53"/>
      <c r="B293" s="53"/>
      <c r="N293" s="56"/>
    </row>
    <row r="294" spans="1:14" ht="15">
      <c r="A294" s="53"/>
      <c r="B294" s="53"/>
      <c r="N294" s="56"/>
    </row>
    <row r="295" spans="1:14" ht="15">
      <c r="A295" s="53"/>
      <c r="B295" s="53"/>
      <c r="N295" s="56"/>
    </row>
    <row r="296" spans="1:14" ht="15">
      <c r="A296" s="53"/>
      <c r="B296" s="53"/>
      <c r="N296" s="56"/>
    </row>
    <row r="297" spans="1:14" ht="15">
      <c r="A297" s="53"/>
      <c r="B297" s="53"/>
      <c r="N297" s="56"/>
    </row>
    <row r="298" spans="1:14" ht="15">
      <c r="A298" s="53"/>
      <c r="B298" s="53"/>
      <c r="N298" s="56"/>
    </row>
    <row r="299" spans="1:14" ht="15">
      <c r="A299" s="53"/>
      <c r="B299" s="53"/>
      <c r="N299" s="56"/>
    </row>
    <row r="300" spans="1:14" ht="15">
      <c r="A300" s="53"/>
      <c r="B300" s="53"/>
      <c r="N300" s="56"/>
    </row>
    <row r="301" spans="1:14" ht="15">
      <c r="A301" s="53"/>
      <c r="B301" s="53"/>
      <c r="N301" s="56"/>
    </row>
    <row r="302" spans="1:14" ht="15">
      <c r="A302" s="53"/>
      <c r="B302" s="53"/>
      <c r="N302" s="56"/>
    </row>
    <row r="303" spans="1:14" ht="15">
      <c r="A303" s="53"/>
      <c r="B303" s="53"/>
      <c r="N303" s="56"/>
    </row>
    <row r="304" spans="1:14" ht="15">
      <c r="A304" s="53"/>
      <c r="B304" s="53"/>
      <c r="N304" s="56"/>
    </row>
    <row r="305" spans="1:14" ht="15">
      <c r="A305" s="53"/>
      <c r="B305" s="53"/>
      <c r="N305" s="56"/>
    </row>
    <row r="306" spans="1:14" ht="15">
      <c r="A306" s="53"/>
      <c r="B306" s="53"/>
      <c r="N306" s="56"/>
    </row>
    <row r="307" spans="1:14" ht="15">
      <c r="A307" s="53"/>
      <c r="B307" s="53"/>
      <c r="N307" s="56"/>
    </row>
    <row r="308" spans="1:14" ht="15">
      <c r="A308" s="53"/>
      <c r="B308" s="53"/>
      <c r="N308" s="56"/>
    </row>
    <row r="309" spans="1:14" ht="15">
      <c r="A309" s="53"/>
      <c r="B309" s="53"/>
      <c r="N309" s="56"/>
    </row>
    <row r="310" spans="1:14" ht="15">
      <c r="A310" s="53"/>
      <c r="B310" s="53"/>
      <c r="N310" s="56"/>
    </row>
    <row r="311" spans="1:14" ht="15">
      <c r="A311" s="53"/>
      <c r="B311" s="53"/>
      <c r="N311" s="56"/>
    </row>
    <row r="312" spans="1:14" ht="15">
      <c r="A312" s="57"/>
      <c r="B312" s="57"/>
      <c r="N312" s="56"/>
    </row>
    <row r="313" spans="1:14" ht="15">
      <c r="A313" s="53"/>
      <c r="B313" s="53"/>
      <c r="N313" s="56"/>
    </row>
    <row r="314" spans="1:14" ht="15">
      <c r="A314" s="53"/>
      <c r="B314" s="53"/>
      <c r="N314" s="56"/>
    </row>
    <row r="315" spans="1:14" ht="15">
      <c r="A315" s="53"/>
      <c r="B315" s="53"/>
      <c r="N315" s="56"/>
    </row>
    <row r="316" spans="1:14" ht="15">
      <c r="A316" s="53"/>
      <c r="B316" s="53"/>
      <c r="N316" s="56"/>
    </row>
    <row r="317" spans="1:14" ht="15">
      <c r="A317" s="53"/>
      <c r="B317" s="53"/>
      <c r="N317" s="56"/>
    </row>
    <row r="318" spans="1:14" ht="15">
      <c r="A318" s="53"/>
      <c r="B318" s="53"/>
      <c r="N318" s="56"/>
    </row>
    <row r="319" spans="1:14" ht="15">
      <c r="A319" s="53"/>
      <c r="B319" s="53"/>
      <c r="N319" s="56"/>
    </row>
    <row r="320" spans="1:14" ht="15">
      <c r="A320" s="53"/>
      <c r="B320" s="53"/>
      <c r="N320" s="56"/>
    </row>
    <row r="321" spans="1:14" ht="15">
      <c r="A321" s="53"/>
      <c r="B321" s="53"/>
      <c r="N321" s="56"/>
    </row>
    <row r="322" spans="1:14" ht="15">
      <c r="A322" s="53"/>
      <c r="B322" s="53"/>
      <c r="N322" s="56"/>
    </row>
    <row r="323" spans="1:14" ht="19.5" customHeight="1">
      <c r="A323" s="53"/>
      <c r="B323" s="53"/>
      <c r="N323" s="56"/>
    </row>
    <row r="324" spans="1:14" ht="19.5" customHeight="1">
      <c r="A324" s="53"/>
      <c r="B324" s="53"/>
      <c r="N324" s="56"/>
    </row>
    <row r="325" spans="1:14" ht="19.5" customHeight="1">
      <c r="A325" s="53"/>
      <c r="B325" s="53"/>
      <c r="N325" s="56"/>
    </row>
    <row r="326" spans="1:14" ht="19.5" customHeight="1">
      <c r="A326" s="53"/>
      <c r="B326" s="53"/>
      <c r="N326" s="56"/>
    </row>
    <row r="327" spans="1:14" ht="19.5" customHeight="1">
      <c r="A327" s="53"/>
      <c r="B327" s="53"/>
      <c r="N327" s="56"/>
    </row>
    <row r="328" spans="1:14" ht="19.5" customHeight="1">
      <c r="A328" s="53"/>
      <c r="B328" s="53"/>
      <c r="N328" s="56"/>
    </row>
    <row r="329" spans="1:14" ht="19.5" customHeight="1">
      <c r="A329" s="53"/>
      <c r="B329" s="53"/>
      <c r="N329" s="56"/>
    </row>
    <row r="330" spans="1:14" ht="19.5" customHeight="1">
      <c r="A330" s="53"/>
      <c r="B330" s="53"/>
      <c r="N330" s="56"/>
    </row>
    <row r="331" spans="1:14" ht="19.5" customHeight="1">
      <c r="A331" s="53"/>
      <c r="B331" s="53"/>
      <c r="N331" s="56"/>
    </row>
    <row r="332" spans="1:14" ht="19.5" customHeight="1">
      <c r="A332" s="53"/>
      <c r="B332" s="53"/>
      <c r="N332" s="56"/>
    </row>
    <row r="333" spans="1:14" ht="19.5" customHeight="1">
      <c r="A333" s="53"/>
      <c r="B333" s="53"/>
      <c r="N333" s="56"/>
    </row>
    <row r="334" spans="1:14" ht="15">
      <c r="A334" s="53"/>
      <c r="B334" s="53"/>
      <c r="N334" s="56"/>
    </row>
    <row r="335" spans="1:14" ht="15">
      <c r="A335" s="53"/>
      <c r="B335" s="53"/>
      <c r="N335" s="56"/>
    </row>
    <row r="336" spans="1:14" ht="15">
      <c r="A336" s="53"/>
      <c r="B336" s="53"/>
      <c r="N336" s="56"/>
    </row>
    <row r="337" spans="1:14" ht="15">
      <c r="A337" s="53"/>
      <c r="B337" s="53"/>
      <c r="N337" s="56"/>
    </row>
    <row r="338" spans="1:14" ht="15">
      <c r="A338" s="53"/>
      <c r="B338" s="53"/>
      <c r="N338" s="56"/>
    </row>
    <row r="339" spans="1:14" ht="15">
      <c r="A339" s="53"/>
      <c r="B339" s="53"/>
      <c r="N339" s="56"/>
    </row>
    <row r="340" spans="1:14" ht="15">
      <c r="A340" s="53"/>
      <c r="B340" s="53"/>
      <c r="N340" s="56"/>
    </row>
    <row r="341" spans="1:14" ht="15">
      <c r="A341" s="53"/>
      <c r="B341" s="53"/>
      <c r="N341" s="56"/>
    </row>
    <row r="342" ht="15">
      <c r="N342" s="56"/>
    </row>
    <row r="343" ht="15">
      <c r="N343" s="56"/>
    </row>
    <row r="344" ht="15">
      <c r="N344" s="56"/>
    </row>
    <row r="345" ht="15">
      <c r="N345" s="56"/>
    </row>
    <row r="346" ht="15">
      <c r="N346" s="56"/>
    </row>
    <row r="347" ht="15">
      <c r="N347" s="56"/>
    </row>
    <row r="348" ht="15">
      <c r="N348" s="56"/>
    </row>
    <row r="349" ht="15">
      <c r="N349" s="56"/>
    </row>
    <row r="350" ht="15">
      <c r="N350" s="56"/>
    </row>
    <row r="351" ht="15">
      <c r="N351" s="56"/>
    </row>
    <row r="352" ht="15">
      <c r="N352" s="56"/>
    </row>
    <row r="353" ht="15">
      <c r="N353" s="56"/>
    </row>
    <row r="354" ht="15">
      <c r="N354" s="56"/>
    </row>
    <row r="355" ht="15">
      <c r="N355" s="56"/>
    </row>
    <row r="356" ht="15">
      <c r="N356" s="56"/>
    </row>
    <row r="357" ht="15">
      <c r="N357" s="56"/>
    </row>
    <row r="358" ht="15">
      <c r="N358" s="56"/>
    </row>
    <row r="359" ht="15">
      <c r="N359" s="56"/>
    </row>
    <row r="360" ht="15">
      <c r="N360" s="56"/>
    </row>
    <row r="361" ht="15">
      <c r="N361" s="56"/>
    </row>
    <row r="362" ht="15">
      <c r="N362" s="56"/>
    </row>
    <row r="363" ht="15">
      <c r="N363" s="56"/>
    </row>
    <row r="364" ht="15">
      <c r="N364" s="56"/>
    </row>
    <row r="365" ht="15">
      <c r="N365" s="56"/>
    </row>
    <row r="366" ht="15">
      <c r="N366" s="56"/>
    </row>
    <row r="367" ht="15">
      <c r="N367" s="56"/>
    </row>
    <row r="368" ht="15">
      <c r="N368" s="56"/>
    </row>
    <row r="369" ht="15">
      <c r="N369" s="56"/>
    </row>
    <row r="370" ht="15">
      <c r="N370" s="56"/>
    </row>
    <row r="371" ht="15">
      <c r="N371" s="56"/>
    </row>
    <row r="372" ht="15">
      <c r="N372" s="56"/>
    </row>
    <row r="373" spans="14:24" ht="15">
      <c r="N373" s="56"/>
      <c r="X373" s="5" t="s">
        <v>0</v>
      </c>
    </row>
    <row r="374" ht="15">
      <c r="N374" s="56"/>
    </row>
    <row r="375" ht="15">
      <c r="N375" s="56"/>
    </row>
    <row r="376" ht="15">
      <c r="N376" s="56"/>
    </row>
    <row r="377" ht="15">
      <c r="N377" s="56"/>
    </row>
    <row r="378" ht="15">
      <c r="N378" s="56"/>
    </row>
    <row r="379" ht="15">
      <c r="N379" s="56"/>
    </row>
    <row r="380" ht="15">
      <c r="N380" s="56"/>
    </row>
    <row r="381" ht="15">
      <c r="N381" s="56"/>
    </row>
    <row r="382" ht="15">
      <c r="N382" s="56"/>
    </row>
    <row r="383" ht="15">
      <c r="N383" s="56"/>
    </row>
    <row r="384" ht="15">
      <c r="N384" s="56"/>
    </row>
    <row r="385" ht="15">
      <c r="N385" s="56"/>
    </row>
    <row r="386" ht="15">
      <c r="N386" s="56"/>
    </row>
    <row r="387" ht="15">
      <c r="N387" s="56"/>
    </row>
    <row r="388" ht="15">
      <c r="N388" s="56"/>
    </row>
    <row r="389" ht="15">
      <c r="N389" s="56"/>
    </row>
    <row r="390" ht="15">
      <c r="N390" s="56"/>
    </row>
    <row r="391" ht="15">
      <c r="N391" s="56"/>
    </row>
    <row r="392" ht="15">
      <c r="N392" s="56"/>
    </row>
    <row r="393" ht="15">
      <c r="N393" s="56"/>
    </row>
    <row r="394" ht="15">
      <c r="N394" s="56"/>
    </row>
    <row r="395" ht="15">
      <c r="N395" s="56"/>
    </row>
    <row r="396" ht="15">
      <c r="N396" s="56"/>
    </row>
    <row r="397" ht="15">
      <c r="N397" s="56"/>
    </row>
    <row r="398" ht="15">
      <c r="N398" s="56"/>
    </row>
    <row r="399" ht="15">
      <c r="N399" s="56"/>
    </row>
    <row r="400" ht="15">
      <c r="N400" s="56"/>
    </row>
    <row r="401" ht="15">
      <c r="N401" s="56"/>
    </row>
    <row r="402" ht="15">
      <c r="N402" s="56"/>
    </row>
    <row r="403" ht="15">
      <c r="N403" s="56"/>
    </row>
    <row r="404" ht="15">
      <c r="N404" s="56"/>
    </row>
    <row r="405" ht="15">
      <c r="N405" s="56"/>
    </row>
    <row r="406" ht="15">
      <c r="N406" s="56"/>
    </row>
    <row r="407" ht="15">
      <c r="N407" s="56"/>
    </row>
    <row r="408" ht="15">
      <c r="N408" s="56"/>
    </row>
    <row r="409" ht="15">
      <c r="N409" s="56"/>
    </row>
    <row r="410" ht="15">
      <c r="N410" s="56"/>
    </row>
    <row r="411" ht="15">
      <c r="N411" s="56"/>
    </row>
    <row r="412" ht="15">
      <c r="N412" s="56"/>
    </row>
    <row r="413" ht="15">
      <c r="N413" s="56"/>
    </row>
    <row r="414" ht="15">
      <c r="N414" s="56"/>
    </row>
    <row r="415" ht="15">
      <c r="N415" s="56"/>
    </row>
    <row r="416" ht="15">
      <c r="N416" s="56"/>
    </row>
    <row r="417" ht="15">
      <c r="N417" s="56"/>
    </row>
    <row r="418" ht="15">
      <c r="N418" s="56"/>
    </row>
    <row r="419" ht="15">
      <c r="N419" s="56"/>
    </row>
    <row r="420" ht="15">
      <c r="N420" s="56"/>
    </row>
    <row r="421" ht="15">
      <c r="N421" s="56"/>
    </row>
    <row r="422" ht="15">
      <c r="N422" s="56"/>
    </row>
    <row r="423" ht="15">
      <c r="N423" s="56"/>
    </row>
    <row r="424" ht="15">
      <c r="N424" s="56"/>
    </row>
    <row r="425" ht="15">
      <c r="N425" s="56"/>
    </row>
    <row r="426" ht="15">
      <c r="N426" s="56"/>
    </row>
    <row r="427" ht="15">
      <c r="N427" s="56"/>
    </row>
    <row r="428" ht="15">
      <c r="N428" s="56"/>
    </row>
    <row r="429" ht="15">
      <c r="N429" s="56"/>
    </row>
    <row r="430" ht="15">
      <c r="N430" s="56"/>
    </row>
    <row r="431" ht="15">
      <c r="N431" s="56"/>
    </row>
    <row r="432" ht="15">
      <c r="N432" s="56"/>
    </row>
    <row r="433" ht="15">
      <c r="N433" s="56"/>
    </row>
    <row r="434" ht="15">
      <c r="N434" s="56"/>
    </row>
    <row r="435" ht="15">
      <c r="N435" s="56"/>
    </row>
    <row r="436" ht="15">
      <c r="N436" s="56"/>
    </row>
    <row r="437" ht="15">
      <c r="N437" s="56"/>
    </row>
    <row r="438" ht="15">
      <c r="N438" s="56"/>
    </row>
    <row r="439" ht="15">
      <c r="N439" s="56"/>
    </row>
    <row r="440" ht="15">
      <c r="N440" s="56"/>
    </row>
    <row r="441" ht="15">
      <c r="N441" s="56"/>
    </row>
    <row r="442" ht="15">
      <c r="N442" s="56"/>
    </row>
    <row r="443" ht="15">
      <c r="N443" s="56"/>
    </row>
    <row r="444" ht="15">
      <c r="N444" s="56"/>
    </row>
    <row r="445" ht="15">
      <c r="N445" s="56"/>
    </row>
    <row r="446" ht="15">
      <c r="N446" s="56"/>
    </row>
    <row r="447" ht="15">
      <c r="N447" s="56"/>
    </row>
    <row r="448" ht="15">
      <c r="N448" s="56"/>
    </row>
    <row r="449" ht="15">
      <c r="N449" s="56"/>
    </row>
    <row r="450" ht="15">
      <c r="N450" s="56"/>
    </row>
    <row r="451" ht="15">
      <c r="N451" s="56"/>
    </row>
    <row r="452" ht="15">
      <c r="N452" s="56"/>
    </row>
    <row r="453" ht="15">
      <c r="N453" s="56"/>
    </row>
    <row r="454" ht="15">
      <c r="N454" s="56"/>
    </row>
    <row r="455" ht="15">
      <c r="N455" s="56"/>
    </row>
    <row r="456" ht="15">
      <c r="N456" s="56"/>
    </row>
    <row r="457" ht="15">
      <c r="N457" s="56"/>
    </row>
    <row r="458" ht="15">
      <c r="N458" s="56"/>
    </row>
    <row r="459" ht="15">
      <c r="N459" s="56"/>
    </row>
    <row r="460" ht="15">
      <c r="N460" s="56"/>
    </row>
    <row r="461" ht="15">
      <c r="N461" s="56"/>
    </row>
    <row r="462" ht="15">
      <c r="N462" s="56"/>
    </row>
    <row r="463" ht="15">
      <c r="N463" s="56"/>
    </row>
    <row r="464" ht="15">
      <c r="N464" s="56"/>
    </row>
    <row r="465" ht="15">
      <c r="N465" s="56"/>
    </row>
    <row r="466" ht="15">
      <c r="N466" s="56"/>
    </row>
    <row r="467" ht="15">
      <c r="N467" s="56"/>
    </row>
    <row r="468" ht="15">
      <c r="N468" s="56"/>
    </row>
    <row r="469" ht="15">
      <c r="N469" s="56"/>
    </row>
    <row r="470" ht="15">
      <c r="N470" s="56"/>
    </row>
    <row r="471" ht="15">
      <c r="N471" s="56"/>
    </row>
    <row r="472" ht="15">
      <c r="N472" s="56"/>
    </row>
    <row r="473" ht="15">
      <c r="N473" s="56"/>
    </row>
    <row r="474" ht="15">
      <c r="N474" s="56"/>
    </row>
    <row r="475" ht="15">
      <c r="N475" s="56"/>
    </row>
    <row r="476" ht="15">
      <c r="N476" s="56"/>
    </row>
    <row r="477" ht="15">
      <c r="N477" s="56"/>
    </row>
    <row r="478" ht="15">
      <c r="N478" s="56"/>
    </row>
    <row r="479" ht="15">
      <c r="N479" s="56"/>
    </row>
    <row r="480" ht="15">
      <c r="N480" s="56"/>
    </row>
    <row r="481" ht="15">
      <c r="N481" s="56"/>
    </row>
    <row r="482" ht="15">
      <c r="N482" s="56"/>
    </row>
    <row r="483" ht="15">
      <c r="N483" s="56"/>
    </row>
    <row r="484" ht="15">
      <c r="N484" s="56"/>
    </row>
    <row r="485" ht="15">
      <c r="N485" s="56"/>
    </row>
    <row r="486" ht="15">
      <c r="N486" s="56"/>
    </row>
    <row r="487" ht="15">
      <c r="N487" s="56"/>
    </row>
    <row r="488" ht="15">
      <c r="N488" s="56"/>
    </row>
    <row r="489" ht="15">
      <c r="N489" s="56"/>
    </row>
    <row r="490" ht="15">
      <c r="N490" s="56"/>
    </row>
    <row r="491" ht="15">
      <c r="N491" s="56"/>
    </row>
    <row r="492" ht="15">
      <c r="N492" s="56"/>
    </row>
    <row r="493" ht="15">
      <c r="N493" s="56"/>
    </row>
    <row r="494" ht="15">
      <c r="N494" s="56"/>
    </row>
    <row r="495" ht="15">
      <c r="N495" s="56"/>
    </row>
    <row r="496" ht="15">
      <c r="N496" s="56"/>
    </row>
    <row r="497" ht="15">
      <c r="N497" s="56"/>
    </row>
    <row r="498" ht="15">
      <c r="N498" s="56"/>
    </row>
    <row r="499" ht="15">
      <c r="N499" s="56"/>
    </row>
    <row r="500" ht="15">
      <c r="N500" s="56"/>
    </row>
    <row r="501" ht="15">
      <c r="N501" s="56"/>
    </row>
    <row r="502" ht="15">
      <c r="N502" s="56"/>
    </row>
    <row r="503" ht="15">
      <c r="N503" s="56"/>
    </row>
    <row r="504" ht="15">
      <c r="N504" s="56"/>
    </row>
    <row r="505" ht="15">
      <c r="N505" s="56"/>
    </row>
    <row r="506" ht="15">
      <c r="N506" s="56"/>
    </row>
    <row r="507" ht="15">
      <c r="N507" s="56"/>
    </row>
    <row r="508" ht="15">
      <c r="N508" s="56"/>
    </row>
    <row r="509" ht="15">
      <c r="N509" s="56"/>
    </row>
    <row r="510" ht="15">
      <c r="N510" s="56"/>
    </row>
    <row r="511" ht="15">
      <c r="N511" s="56"/>
    </row>
    <row r="512" ht="15">
      <c r="N512" s="56"/>
    </row>
    <row r="513" ht="15">
      <c r="N513" s="56"/>
    </row>
    <row r="514" ht="15">
      <c r="N514" s="56"/>
    </row>
    <row r="515" ht="15">
      <c r="N515" s="56"/>
    </row>
    <row r="516" ht="15">
      <c r="N516" s="56"/>
    </row>
    <row r="517" ht="15">
      <c r="N517" s="56"/>
    </row>
    <row r="518" ht="15">
      <c r="N518" s="56"/>
    </row>
    <row r="519" ht="15">
      <c r="N519" s="56"/>
    </row>
    <row r="520" ht="15">
      <c r="N520" s="56"/>
    </row>
    <row r="521" ht="15">
      <c r="N521" s="56"/>
    </row>
    <row r="522" ht="15">
      <c r="N522" s="56"/>
    </row>
    <row r="523" ht="15">
      <c r="N523" s="56"/>
    </row>
    <row r="524" ht="15">
      <c r="N524" s="56"/>
    </row>
    <row r="525" ht="15">
      <c r="N525" s="56"/>
    </row>
  </sheetData>
  <sheetProtection/>
  <mergeCells count="33">
    <mergeCell ref="A215:H215"/>
    <mergeCell ref="A206:H206"/>
    <mergeCell ref="A207:H207"/>
    <mergeCell ref="A208:H208"/>
    <mergeCell ref="A126:I126"/>
    <mergeCell ref="A186:I186"/>
    <mergeCell ref="A212:B214"/>
    <mergeCell ref="C212:H212"/>
    <mergeCell ref="C213:H213"/>
    <mergeCell ref="C214:H214"/>
    <mergeCell ref="A205:I205"/>
    <mergeCell ref="Q18:AL18"/>
    <mergeCell ref="A85:I85"/>
    <mergeCell ref="A86:I86"/>
    <mergeCell ref="A90:H90"/>
    <mergeCell ref="A91:I91"/>
    <mergeCell ref="A200:I200"/>
    <mergeCell ref="A18:I18"/>
    <mergeCell ref="A94:H94"/>
    <mergeCell ref="A96:I96"/>
    <mergeCell ref="A14:I14"/>
    <mergeCell ref="B15:B17"/>
    <mergeCell ref="E15:E17"/>
    <mergeCell ref="F15:F17"/>
    <mergeCell ref="M12:U12"/>
    <mergeCell ref="G15:G17"/>
    <mergeCell ref="H15:H17"/>
    <mergeCell ref="A8:I8"/>
    <mergeCell ref="A9:I9"/>
    <mergeCell ref="A10:I10"/>
    <mergeCell ref="A11:I11"/>
    <mergeCell ref="A12:I12"/>
    <mergeCell ref="A13:I13"/>
  </mergeCells>
  <printOptions horizontalCentered="1"/>
  <pageMargins left="0.7" right="0.7" top="0.75" bottom="0.75" header="0" footer="0"/>
  <pageSetup fitToHeight="0" fitToWidth="1" horizontalDpi="600" verticalDpi="600" orientation="portrait" scale="4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AM491"/>
  <sheetViews>
    <sheetView showGridLines="0" defaultGridColor="0" zoomScale="82" zoomScaleNormal="82" zoomScaleSheetLayoutView="85" colorId="22" workbookViewId="0" topLeftCell="A14">
      <selection activeCell="F28" sqref="F28"/>
    </sheetView>
  </sheetViews>
  <sheetFormatPr defaultColWidth="10.8984375" defaultRowHeight="15"/>
  <cols>
    <col min="1" max="1" width="10.59765625" style="2" customWidth="1"/>
    <col min="2" max="2" width="12.59765625" style="2" customWidth="1"/>
    <col min="3" max="3" width="104.59765625" style="2" bestFit="1" customWidth="1"/>
    <col min="4" max="4" width="10.59765625" style="2" customWidth="1"/>
    <col min="5" max="5" width="16.59765625" style="2" customWidth="1"/>
    <col min="6" max="6" width="16.59765625" style="98" customWidth="1"/>
    <col min="7" max="7" width="16.59765625" style="3" customWidth="1"/>
    <col min="8" max="8" width="16.59765625" style="2" customWidth="1"/>
    <col min="9" max="9" width="20.59765625" style="2" customWidth="1"/>
    <col min="10" max="10" width="18.19921875" style="2" customWidth="1"/>
    <col min="11" max="11" width="18.19921875" style="4" customWidth="1"/>
    <col min="12" max="12" width="4.09765625" style="5" customWidth="1"/>
    <col min="13" max="13" width="16.69921875" style="5" customWidth="1"/>
    <col min="14" max="14" width="17.3984375" style="6" customWidth="1"/>
    <col min="15" max="15" width="10.8984375" style="5" customWidth="1"/>
    <col min="16" max="16" width="13.5" style="5" customWidth="1"/>
    <col min="17" max="38" width="7.59765625" style="5" customWidth="1"/>
    <col min="39" max="16384" width="10.8984375" style="5" customWidth="1"/>
  </cols>
  <sheetData>
    <row r="1" spans="1:2" ht="15.75" hidden="1">
      <c r="A1" s="1" t="s">
        <v>20</v>
      </c>
      <c r="B1" s="1"/>
    </row>
    <row r="2" spans="1:3" ht="15" hidden="1">
      <c r="A2" s="2" t="s">
        <v>13</v>
      </c>
      <c r="C2" s="7" t="s">
        <v>21</v>
      </c>
    </row>
    <row r="3" spans="1:3" ht="15" hidden="1">
      <c r="A3" s="7" t="s">
        <v>14</v>
      </c>
      <c r="B3" s="7"/>
      <c r="C3" s="7" t="s">
        <v>36</v>
      </c>
    </row>
    <row r="4" spans="1:3" ht="15" hidden="1">
      <c r="A4" s="2" t="s">
        <v>15</v>
      </c>
      <c r="C4" s="7" t="s">
        <v>37</v>
      </c>
    </row>
    <row r="5" spans="1:3" ht="15" hidden="1">
      <c r="A5" s="2" t="s">
        <v>16</v>
      </c>
      <c r="C5" s="7" t="s">
        <v>18</v>
      </c>
    </row>
    <row r="6" spans="1:3" ht="15" hidden="1">
      <c r="A6" s="7" t="s">
        <v>17</v>
      </c>
      <c r="B6" s="7"/>
      <c r="C6" s="7" t="s">
        <v>19</v>
      </c>
    </row>
    <row r="7" spans="1:2" ht="15" hidden="1">
      <c r="A7" s="8"/>
      <c r="B7" s="8"/>
    </row>
    <row r="8" spans="1:14" ht="20.25">
      <c r="A8" s="327" t="s">
        <v>147</v>
      </c>
      <c r="B8" s="327"/>
      <c r="C8" s="327"/>
      <c r="D8" s="327"/>
      <c r="E8" s="327"/>
      <c r="F8" s="327"/>
      <c r="G8" s="327"/>
      <c r="H8" s="327"/>
      <c r="I8" s="327"/>
      <c r="J8" s="96" t="s">
        <v>55</v>
      </c>
      <c r="K8" s="97">
        <v>0.05</v>
      </c>
      <c r="M8" s="46">
        <f>SUM(I20:I78)+SUM(I79:I82)</f>
        <v>14376135</v>
      </c>
      <c r="N8" s="47" t="s">
        <v>22</v>
      </c>
    </row>
    <row r="9" spans="1:14" ht="20.25">
      <c r="A9" s="327" t="s">
        <v>148</v>
      </c>
      <c r="B9" s="327"/>
      <c r="C9" s="327"/>
      <c r="D9" s="327"/>
      <c r="E9" s="327"/>
      <c r="F9" s="327"/>
      <c r="G9" s="327"/>
      <c r="H9" s="327"/>
      <c r="I9" s="327"/>
      <c r="J9" s="96" t="s">
        <v>54</v>
      </c>
      <c r="K9" s="97">
        <v>0.03</v>
      </c>
      <c r="M9" s="46">
        <f>ROUND(M8*N9,0)</f>
        <v>1437614</v>
      </c>
      <c r="N9" s="52">
        <v>0.1</v>
      </c>
    </row>
    <row r="10" spans="1:14" ht="20.25">
      <c r="A10" s="327" t="s">
        <v>87</v>
      </c>
      <c r="B10" s="327"/>
      <c r="C10" s="327"/>
      <c r="D10" s="327"/>
      <c r="E10" s="327"/>
      <c r="F10" s="327"/>
      <c r="G10" s="327"/>
      <c r="H10" s="327"/>
      <c r="I10" s="327"/>
      <c r="M10" s="46">
        <f>SUM(I21:I78)+SUM(I79:I82)</f>
        <v>13069214</v>
      </c>
      <c r="N10" s="47" t="s">
        <v>23</v>
      </c>
    </row>
    <row r="11" spans="1:14" ht="20.25">
      <c r="A11" s="327" t="s">
        <v>149</v>
      </c>
      <c r="B11" s="327"/>
      <c r="C11" s="327"/>
      <c r="D11" s="327"/>
      <c r="E11" s="327"/>
      <c r="F11" s="327"/>
      <c r="G11" s="327"/>
      <c r="H11" s="327"/>
      <c r="I11" s="327"/>
      <c r="M11" s="46">
        <f>ROUND(M10*N11,0)</f>
        <v>1306921</v>
      </c>
      <c r="N11" s="52">
        <v>0.1</v>
      </c>
    </row>
    <row r="12" spans="1:21" ht="20.25">
      <c r="A12" s="327"/>
      <c r="B12" s="327"/>
      <c r="C12" s="327"/>
      <c r="D12" s="327"/>
      <c r="E12" s="327"/>
      <c r="F12" s="327"/>
      <c r="G12" s="327"/>
      <c r="H12" s="327"/>
      <c r="I12" s="327"/>
      <c r="M12" s="327"/>
      <c r="N12" s="327"/>
      <c r="O12" s="327"/>
      <c r="P12" s="327"/>
      <c r="Q12" s="327"/>
      <c r="R12" s="327"/>
      <c r="S12" s="327"/>
      <c r="T12" s="327"/>
      <c r="U12" s="327"/>
    </row>
    <row r="13" spans="1:19" ht="18.75" thickBot="1">
      <c r="A13" s="328" t="s">
        <v>88</v>
      </c>
      <c r="B13" s="328"/>
      <c r="C13" s="328"/>
      <c r="D13" s="328"/>
      <c r="E13" s="328"/>
      <c r="F13" s="328"/>
      <c r="G13" s="328"/>
      <c r="H13" s="328"/>
      <c r="I13" s="328"/>
      <c r="R13" s="46"/>
      <c r="S13" s="47"/>
    </row>
    <row r="14" spans="1:16" ht="46.5" customHeight="1" thickBot="1" thickTop="1">
      <c r="A14" s="329" t="s">
        <v>354</v>
      </c>
      <c r="B14" s="330"/>
      <c r="C14" s="330"/>
      <c r="D14" s="330"/>
      <c r="E14" s="330"/>
      <c r="F14" s="330"/>
      <c r="G14" s="330"/>
      <c r="H14" s="330"/>
      <c r="I14" s="331"/>
      <c r="J14" s="9"/>
      <c r="M14" s="95" t="s">
        <v>343</v>
      </c>
      <c r="N14" s="10"/>
      <c r="O14" s="11"/>
      <c r="P14" s="11"/>
    </row>
    <row r="15" spans="1:16" ht="16.5" thickTop="1">
      <c r="A15" s="74"/>
      <c r="B15" s="332" t="s">
        <v>39</v>
      </c>
      <c r="C15" s="12"/>
      <c r="D15" s="12"/>
      <c r="E15" s="334" t="s">
        <v>341</v>
      </c>
      <c r="F15" s="336" t="s">
        <v>40</v>
      </c>
      <c r="G15" s="334" t="s">
        <v>342</v>
      </c>
      <c r="H15" s="332" t="s">
        <v>53</v>
      </c>
      <c r="I15" s="75"/>
      <c r="M15" s="11"/>
      <c r="N15" s="11"/>
      <c r="P15" s="11"/>
    </row>
    <row r="16" spans="1:16" ht="15.75" customHeight="1">
      <c r="A16" s="76" t="s">
        <v>3</v>
      </c>
      <c r="B16" s="332"/>
      <c r="C16" s="12" t="s">
        <v>4</v>
      </c>
      <c r="D16" s="13" t="s">
        <v>5</v>
      </c>
      <c r="E16" s="334"/>
      <c r="F16" s="336"/>
      <c r="G16" s="338"/>
      <c r="H16" s="340"/>
      <c r="I16" s="77" t="s">
        <v>6</v>
      </c>
      <c r="J16" s="14" t="s">
        <v>1</v>
      </c>
      <c r="K16" s="14" t="s">
        <v>2</v>
      </c>
      <c r="M16" s="11"/>
      <c r="N16" s="11"/>
      <c r="P16" s="11"/>
    </row>
    <row r="17" spans="1:16" ht="16.5" thickBot="1">
      <c r="A17" s="78"/>
      <c r="B17" s="333"/>
      <c r="C17" s="73"/>
      <c r="D17" s="73"/>
      <c r="E17" s="335"/>
      <c r="F17" s="337"/>
      <c r="G17" s="339"/>
      <c r="H17" s="341"/>
      <c r="I17" s="79"/>
      <c r="J17" s="15" t="s">
        <v>7</v>
      </c>
      <c r="K17" s="15" t="s">
        <v>8</v>
      </c>
      <c r="M17" s="16"/>
      <c r="N17" s="16"/>
      <c r="O17" s="17"/>
      <c r="P17" s="11"/>
    </row>
    <row r="18" spans="1:38" ht="23.25" customHeight="1" thickBot="1" thickTop="1">
      <c r="A18" s="342" t="s">
        <v>42</v>
      </c>
      <c r="B18" s="343"/>
      <c r="C18" s="343"/>
      <c r="D18" s="343"/>
      <c r="E18" s="343"/>
      <c r="F18" s="343"/>
      <c r="G18" s="343"/>
      <c r="H18" s="343"/>
      <c r="I18" s="344"/>
      <c r="J18" s="15"/>
      <c r="K18" s="15"/>
      <c r="M18" s="16"/>
      <c r="N18" s="16"/>
      <c r="O18" s="17"/>
      <c r="P18" s="11"/>
      <c r="Q18" s="381" t="s">
        <v>344</v>
      </c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3"/>
    </row>
    <row r="19" spans="1:39" ht="23.25" customHeight="1" thickTop="1">
      <c r="A19" s="18">
        <f>ROW()-18</f>
        <v>1</v>
      </c>
      <c r="B19" s="28" t="s">
        <v>174</v>
      </c>
      <c r="C19" s="20" t="s">
        <v>176</v>
      </c>
      <c r="D19" s="21" t="s">
        <v>9</v>
      </c>
      <c r="E19" s="21">
        <v>1</v>
      </c>
      <c r="F19" s="99">
        <f>E19</f>
        <v>1</v>
      </c>
      <c r="G19" s="23"/>
      <c r="H19" s="24">
        <f>M9</f>
        <v>1437614</v>
      </c>
      <c r="I19" s="25">
        <f aca="true" t="shared" si="0" ref="I19:I82">ROUNDUP(F19*H19,0)</f>
        <v>1437614</v>
      </c>
      <c r="J19" s="26"/>
      <c r="K19" s="27"/>
      <c r="M19" s="69"/>
      <c r="P19" s="11"/>
      <c r="Q19" s="88" t="s">
        <v>317</v>
      </c>
      <c r="R19" s="88" t="s">
        <v>318</v>
      </c>
      <c r="S19" s="88" t="s">
        <v>319</v>
      </c>
      <c r="T19" s="88" t="s">
        <v>320</v>
      </c>
      <c r="U19" s="88" t="s">
        <v>321</v>
      </c>
      <c r="V19" s="88" t="s">
        <v>322</v>
      </c>
      <c r="W19" s="88" t="s">
        <v>323</v>
      </c>
      <c r="X19" s="88" t="s">
        <v>324</v>
      </c>
      <c r="Y19" s="88" t="s">
        <v>325</v>
      </c>
      <c r="Z19" s="88" t="s">
        <v>326</v>
      </c>
      <c r="AA19" s="88" t="s">
        <v>327</v>
      </c>
      <c r="AB19" s="88" t="s">
        <v>328</v>
      </c>
      <c r="AC19" s="88" t="s">
        <v>329</v>
      </c>
      <c r="AD19" s="88" t="s">
        <v>330</v>
      </c>
      <c r="AE19" s="88" t="s">
        <v>331</v>
      </c>
      <c r="AF19" s="88" t="s">
        <v>332</v>
      </c>
      <c r="AG19" s="88" t="s">
        <v>333</v>
      </c>
      <c r="AH19" s="88" t="s">
        <v>334</v>
      </c>
      <c r="AI19" s="88" t="s">
        <v>335</v>
      </c>
      <c r="AJ19" s="88" t="s">
        <v>336</v>
      </c>
      <c r="AK19" s="88" t="s">
        <v>337</v>
      </c>
      <c r="AL19" s="88" t="s">
        <v>338</v>
      </c>
      <c r="AM19" s="87"/>
    </row>
    <row r="20" spans="1:39" s="17" customFormat="1" ht="23.25" customHeight="1">
      <c r="A20" s="18">
        <f aca="true" t="shared" si="1" ref="A20:A82">ROW()-18</f>
        <v>2</v>
      </c>
      <c r="B20" s="28" t="s">
        <v>175</v>
      </c>
      <c r="C20" s="29" t="s">
        <v>177</v>
      </c>
      <c r="D20" s="30" t="s">
        <v>9</v>
      </c>
      <c r="E20" s="30">
        <v>1</v>
      </c>
      <c r="F20" s="100">
        <f>E20</f>
        <v>1</v>
      </c>
      <c r="G20" s="32"/>
      <c r="H20" s="33">
        <f>M11</f>
        <v>1306921</v>
      </c>
      <c r="I20" s="34">
        <f t="shared" si="0"/>
        <v>1306921</v>
      </c>
      <c r="J20" s="35"/>
      <c r="K20" s="36"/>
      <c r="M20" s="68"/>
      <c r="N20" s="84"/>
      <c r="P20" s="16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17">
        <f>SUM(Q20:AL20)</f>
        <v>0</v>
      </c>
    </row>
    <row r="21" spans="1:39" s="17" customFormat="1" ht="23.25" customHeight="1">
      <c r="A21" s="18">
        <f t="shared" si="1"/>
        <v>3</v>
      </c>
      <c r="B21" s="28" t="s">
        <v>68</v>
      </c>
      <c r="C21" s="29" t="s">
        <v>65</v>
      </c>
      <c r="D21" s="30" t="s">
        <v>11</v>
      </c>
      <c r="E21" s="39">
        <v>25000</v>
      </c>
      <c r="F21" s="39">
        <f>E21</f>
        <v>25000</v>
      </c>
      <c r="G21" s="64">
        <v>1.57</v>
      </c>
      <c r="H21" s="33">
        <f aca="true" t="shared" si="2" ref="H21:H52">_xlfn.CEILING.MATH(G21*(1+$K$9),1)</f>
        <v>2</v>
      </c>
      <c r="I21" s="34">
        <f t="shared" si="0"/>
        <v>50000</v>
      </c>
      <c r="J21" s="35"/>
      <c r="K21" s="36"/>
      <c r="M21" s="68"/>
      <c r="N21" s="84"/>
      <c r="P21" s="16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17">
        <f aca="true" t="shared" si="3" ref="AM21:AM78">SUM(Q21:AL21)</f>
        <v>0</v>
      </c>
    </row>
    <row r="22" spans="1:39" s="17" customFormat="1" ht="23.25" customHeight="1">
      <c r="A22" s="18">
        <f t="shared" si="1"/>
        <v>4</v>
      </c>
      <c r="B22" s="28" t="s">
        <v>69</v>
      </c>
      <c r="C22" s="29" t="s">
        <v>66</v>
      </c>
      <c r="D22" s="30" t="s">
        <v>11</v>
      </c>
      <c r="E22" s="39">
        <v>1200</v>
      </c>
      <c r="F22" s="39">
        <f>E22</f>
        <v>1200</v>
      </c>
      <c r="G22" s="64">
        <v>3.64</v>
      </c>
      <c r="H22" s="33">
        <f t="shared" si="2"/>
        <v>4</v>
      </c>
      <c r="I22" s="34">
        <f t="shared" si="0"/>
        <v>4800</v>
      </c>
      <c r="J22" s="35"/>
      <c r="K22" s="36"/>
      <c r="M22" s="68"/>
      <c r="N22" s="84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17">
        <f t="shared" si="3"/>
        <v>0</v>
      </c>
    </row>
    <row r="23" spans="1:39" s="17" customFormat="1" ht="23.25" customHeight="1">
      <c r="A23" s="18">
        <f t="shared" si="1"/>
        <v>5</v>
      </c>
      <c r="B23" s="28" t="s">
        <v>70</v>
      </c>
      <c r="C23" s="29" t="s">
        <v>67</v>
      </c>
      <c r="D23" s="30" t="s">
        <v>12</v>
      </c>
      <c r="E23" s="39">
        <v>125</v>
      </c>
      <c r="F23" s="39">
        <f>E23</f>
        <v>125</v>
      </c>
      <c r="G23" s="64">
        <v>141</v>
      </c>
      <c r="H23" s="33">
        <f t="shared" si="2"/>
        <v>146</v>
      </c>
      <c r="I23" s="34">
        <f t="shared" si="0"/>
        <v>18250</v>
      </c>
      <c r="J23" s="35"/>
      <c r="K23" s="36"/>
      <c r="M23" s="68"/>
      <c r="N23" s="84"/>
      <c r="O23" s="70"/>
      <c r="Q23" s="90"/>
      <c r="R23" s="91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17">
        <f t="shared" si="3"/>
        <v>0</v>
      </c>
    </row>
    <row r="24" spans="1:39" s="17" customFormat="1" ht="23.25" customHeight="1">
      <c r="A24" s="18">
        <f t="shared" si="1"/>
        <v>6</v>
      </c>
      <c r="B24" s="28" t="s">
        <v>24</v>
      </c>
      <c r="C24" s="29" t="s">
        <v>44</v>
      </c>
      <c r="D24" s="30" t="s">
        <v>84</v>
      </c>
      <c r="E24" s="65">
        <v>40</v>
      </c>
      <c r="F24" s="39">
        <f>E24*1+K8</f>
        <v>40.05</v>
      </c>
      <c r="G24" s="64">
        <v>7765.83</v>
      </c>
      <c r="H24" s="33">
        <f t="shared" si="2"/>
        <v>7999</v>
      </c>
      <c r="I24" s="34">
        <f t="shared" si="0"/>
        <v>320360</v>
      </c>
      <c r="J24" s="35"/>
      <c r="K24" s="36"/>
      <c r="M24" s="68"/>
      <c r="N24" s="84"/>
      <c r="Q24" s="90"/>
      <c r="R24" s="91"/>
      <c r="S24" s="92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17">
        <f t="shared" si="3"/>
        <v>0</v>
      </c>
    </row>
    <row r="25" spans="1:39" s="17" customFormat="1" ht="23.25" customHeight="1">
      <c r="A25" s="18">
        <f t="shared" si="1"/>
        <v>7</v>
      </c>
      <c r="B25" s="28" t="s">
        <v>31</v>
      </c>
      <c r="C25" s="37" t="s">
        <v>45</v>
      </c>
      <c r="D25" s="30" t="s">
        <v>10</v>
      </c>
      <c r="E25" s="39">
        <v>850</v>
      </c>
      <c r="F25" s="39">
        <f>E25*1+K9</f>
        <v>850.03</v>
      </c>
      <c r="G25" s="64">
        <v>17.15</v>
      </c>
      <c r="H25" s="33">
        <f t="shared" si="2"/>
        <v>18</v>
      </c>
      <c r="I25" s="34">
        <f t="shared" si="0"/>
        <v>15301</v>
      </c>
      <c r="J25" s="35"/>
      <c r="K25" s="36"/>
      <c r="M25" s="68"/>
      <c r="N25" s="84"/>
      <c r="P25" s="5"/>
      <c r="Q25" s="89"/>
      <c r="R25" s="89"/>
      <c r="S25" s="89"/>
      <c r="T25" s="92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17">
        <f t="shared" si="3"/>
        <v>0</v>
      </c>
    </row>
    <row r="26" spans="1:39" s="17" customFormat="1" ht="23.25" customHeight="1">
      <c r="A26" s="18">
        <f t="shared" si="1"/>
        <v>8</v>
      </c>
      <c r="B26" s="28" t="s">
        <v>82</v>
      </c>
      <c r="C26" s="37" t="s">
        <v>83</v>
      </c>
      <c r="D26" s="30" t="s">
        <v>12</v>
      </c>
      <c r="E26" s="39">
        <v>30</v>
      </c>
      <c r="F26" s="39">
        <f>E26</f>
        <v>30</v>
      </c>
      <c r="G26" s="64">
        <v>168.52</v>
      </c>
      <c r="H26" s="33">
        <f t="shared" si="2"/>
        <v>174</v>
      </c>
      <c r="I26" s="34">
        <f t="shared" si="0"/>
        <v>5220</v>
      </c>
      <c r="J26" s="35"/>
      <c r="K26" s="36"/>
      <c r="M26" s="68"/>
      <c r="N26" s="84"/>
      <c r="P26" s="5"/>
      <c r="Q26" s="93"/>
      <c r="R26" s="89"/>
      <c r="S26" s="89"/>
      <c r="T26" s="92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17">
        <f t="shared" si="3"/>
        <v>0</v>
      </c>
    </row>
    <row r="27" spans="1:39" s="17" customFormat="1" ht="23.25" customHeight="1">
      <c r="A27" s="18">
        <f t="shared" si="1"/>
        <v>9</v>
      </c>
      <c r="B27" s="28" t="s">
        <v>73</v>
      </c>
      <c r="C27" s="37" t="s">
        <v>71</v>
      </c>
      <c r="D27" s="30" t="s">
        <v>56</v>
      </c>
      <c r="E27" s="39">
        <v>32500</v>
      </c>
      <c r="F27" s="39">
        <f aca="true" t="shared" si="4" ref="F27:F78">E27</f>
        <v>32500</v>
      </c>
      <c r="G27" s="64">
        <v>5.53</v>
      </c>
      <c r="H27" s="33">
        <f t="shared" si="2"/>
        <v>6</v>
      </c>
      <c r="I27" s="34">
        <f t="shared" si="0"/>
        <v>195000</v>
      </c>
      <c r="J27" s="35"/>
      <c r="K27" s="36"/>
      <c r="M27" s="68"/>
      <c r="N27" s="84"/>
      <c r="P27" s="67"/>
      <c r="Q27" s="89"/>
      <c r="R27" s="89"/>
      <c r="S27" s="89"/>
      <c r="T27" s="92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17">
        <f t="shared" si="3"/>
        <v>0</v>
      </c>
    </row>
    <row r="28" spans="1:39" s="17" customFormat="1" ht="23.25" customHeight="1">
      <c r="A28" s="18">
        <f t="shared" si="1"/>
        <v>10</v>
      </c>
      <c r="B28" s="28" t="s">
        <v>74</v>
      </c>
      <c r="C28" s="37" t="s">
        <v>72</v>
      </c>
      <c r="D28" s="30" t="s">
        <v>56</v>
      </c>
      <c r="E28" s="39">
        <v>78000</v>
      </c>
      <c r="F28" s="39">
        <f t="shared" si="4"/>
        <v>78000</v>
      </c>
      <c r="G28" s="64">
        <v>10.5</v>
      </c>
      <c r="H28" s="33">
        <f t="shared" si="2"/>
        <v>11</v>
      </c>
      <c r="I28" s="34">
        <f t="shared" si="0"/>
        <v>858000</v>
      </c>
      <c r="J28" s="35"/>
      <c r="K28" s="36"/>
      <c r="M28" s="68"/>
      <c r="N28" s="84"/>
      <c r="P28" s="5"/>
      <c r="Q28" s="89"/>
      <c r="R28" s="89"/>
      <c r="S28" s="89"/>
      <c r="T28" s="92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17">
        <f t="shared" si="3"/>
        <v>0</v>
      </c>
    </row>
    <row r="29" spans="1:39" s="17" customFormat="1" ht="23.25" customHeight="1">
      <c r="A29" s="18">
        <f t="shared" si="1"/>
        <v>11</v>
      </c>
      <c r="B29" s="28" t="s">
        <v>41</v>
      </c>
      <c r="C29" s="37" t="s">
        <v>46</v>
      </c>
      <c r="D29" s="30" t="s">
        <v>10</v>
      </c>
      <c r="E29" s="39">
        <v>110000</v>
      </c>
      <c r="F29" s="39">
        <f t="shared" si="4"/>
        <v>110000</v>
      </c>
      <c r="G29" s="64">
        <v>4.09</v>
      </c>
      <c r="H29" s="33">
        <f t="shared" si="2"/>
        <v>5</v>
      </c>
      <c r="I29" s="34">
        <f t="shared" si="0"/>
        <v>550000</v>
      </c>
      <c r="J29" s="35"/>
      <c r="K29" s="36"/>
      <c r="M29" s="68"/>
      <c r="N29" s="84"/>
      <c r="P29" s="5"/>
      <c r="Q29" s="92"/>
      <c r="R29" s="92"/>
      <c r="S29" s="92"/>
      <c r="T29" s="92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17">
        <f t="shared" si="3"/>
        <v>0</v>
      </c>
    </row>
    <row r="30" spans="1:39" s="17" customFormat="1" ht="23.25" customHeight="1">
      <c r="A30" s="18">
        <f t="shared" si="1"/>
        <v>12</v>
      </c>
      <c r="B30" s="28" t="s">
        <v>91</v>
      </c>
      <c r="C30" s="37" t="s">
        <v>89</v>
      </c>
      <c r="D30" s="30" t="s">
        <v>10</v>
      </c>
      <c r="E30" s="39">
        <v>28960</v>
      </c>
      <c r="F30" s="39">
        <f t="shared" si="4"/>
        <v>28960</v>
      </c>
      <c r="G30" s="64">
        <v>9.83</v>
      </c>
      <c r="H30" s="33">
        <f t="shared" si="2"/>
        <v>11</v>
      </c>
      <c r="I30" s="34">
        <f t="shared" si="0"/>
        <v>318560</v>
      </c>
      <c r="J30" s="35"/>
      <c r="K30" s="36"/>
      <c r="M30" s="68"/>
      <c r="N30" s="84"/>
      <c r="O30" s="47"/>
      <c r="P30" s="5"/>
      <c r="Q30" s="92"/>
      <c r="R30" s="92"/>
      <c r="S30" s="92"/>
      <c r="T30" s="92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17">
        <f t="shared" si="3"/>
        <v>0</v>
      </c>
    </row>
    <row r="31" spans="1:39" s="17" customFormat="1" ht="23.25" customHeight="1">
      <c r="A31" s="18">
        <f t="shared" si="1"/>
        <v>13</v>
      </c>
      <c r="B31" s="28" t="s">
        <v>92</v>
      </c>
      <c r="C31" s="37" t="s">
        <v>90</v>
      </c>
      <c r="D31" s="30" t="s">
        <v>10</v>
      </c>
      <c r="E31" s="39">
        <v>73600</v>
      </c>
      <c r="F31" s="39">
        <f t="shared" si="4"/>
        <v>73600</v>
      </c>
      <c r="G31" s="64">
        <v>15.97</v>
      </c>
      <c r="H31" s="33">
        <f t="shared" si="2"/>
        <v>17</v>
      </c>
      <c r="I31" s="34">
        <f t="shared" si="0"/>
        <v>1251200</v>
      </c>
      <c r="J31" s="35"/>
      <c r="K31" s="36"/>
      <c r="M31" s="68"/>
      <c r="N31" s="84"/>
      <c r="O31" s="47"/>
      <c r="P31" s="5"/>
      <c r="Q31" s="92"/>
      <c r="R31" s="92"/>
      <c r="S31" s="92"/>
      <c r="T31" s="92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17">
        <f t="shared" si="3"/>
        <v>0</v>
      </c>
    </row>
    <row r="32" spans="1:39" s="17" customFormat="1" ht="23.25" customHeight="1">
      <c r="A32" s="18">
        <f t="shared" si="1"/>
        <v>14</v>
      </c>
      <c r="B32" s="28" t="s">
        <v>32</v>
      </c>
      <c r="C32" s="37" t="s">
        <v>95</v>
      </c>
      <c r="D32" s="30" t="s">
        <v>10</v>
      </c>
      <c r="E32" s="39">
        <v>780</v>
      </c>
      <c r="F32" s="39">
        <f t="shared" si="4"/>
        <v>780</v>
      </c>
      <c r="G32" s="64">
        <v>38.78</v>
      </c>
      <c r="H32" s="33">
        <f t="shared" si="2"/>
        <v>40</v>
      </c>
      <c r="I32" s="34">
        <f t="shared" si="0"/>
        <v>31200</v>
      </c>
      <c r="J32" s="35"/>
      <c r="K32" s="36"/>
      <c r="M32" s="68"/>
      <c r="N32" s="84"/>
      <c r="Q32" s="92"/>
      <c r="R32" s="92"/>
      <c r="S32" s="92"/>
      <c r="T32" s="92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17">
        <f t="shared" si="3"/>
        <v>0</v>
      </c>
    </row>
    <row r="33" spans="1:39" s="17" customFormat="1" ht="23.25" customHeight="1">
      <c r="A33" s="18">
        <f t="shared" si="1"/>
        <v>15</v>
      </c>
      <c r="B33" s="28" t="s">
        <v>93</v>
      </c>
      <c r="C33" s="37" t="s">
        <v>94</v>
      </c>
      <c r="D33" s="30" t="s">
        <v>27</v>
      </c>
      <c r="E33" s="39">
        <v>650</v>
      </c>
      <c r="F33" s="39">
        <f t="shared" si="4"/>
        <v>650</v>
      </c>
      <c r="G33" s="64">
        <v>266.1</v>
      </c>
      <c r="H33" s="33">
        <f t="shared" si="2"/>
        <v>275</v>
      </c>
      <c r="I33" s="34">
        <f t="shared" si="0"/>
        <v>178750</v>
      </c>
      <c r="J33" s="35"/>
      <c r="K33" s="36"/>
      <c r="M33" s="68"/>
      <c r="N33" s="84"/>
      <c r="Q33" s="92"/>
      <c r="R33" s="92"/>
      <c r="S33" s="92"/>
      <c r="T33" s="92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17">
        <f t="shared" si="3"/>
        <v>0</v>
      </c>
    </row>
    <row r="34" spans="1:39" s="17" customFormat="1" ht="23.25" customHeight="1">
      <c r="A34" s="18">
        <f t="shared" si="1"/>
        <v>16</v>
      </c>
      <c r="B34" s="28" t="s">
        <v>99</v>
      </c>
      <c r="C34" s="37" t="s">
        <v>100</v>
      </c>
      <c r="D34" s="30" t="s">
        <v>10</v>
      </c>
      <c r="E34" s="39">
        <v>5680</v>
      </c>
      <c r="F34" s="39">
        <f t="shared" si="4"/>
        <v>5680</v>
      </c>
      <c r="G34" s="64">
        <v>3.43</v>
      </c>
      <c r="H34" s="33">
        <f t="shared" si="2"/>
        <v>4</v>
      </c>
      <c r="I34" s="34">
        <f t="shared" si="0"/>
        <v>22720</v>
      </c>
      <c r="J34" s="35"/>
      <c r="K34" s="36"/>
      <c r="M34" s="68"/>
      <c r="N34" s="84"/>
      <c r="Q34" s="92"/>
      <c r="R34" s="92"/>
      <c r="S34" s="92"/>
      <c r="T34" s="92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17">
        <f t="shared" si="3"/>
        <v>0</v>
      </c>
    </row>
    <row r="35" spans="1:39" s="17" customFormat="1" ht="22.5" customHeight="1">
      <c r="A35" s="18">
        <f t="shared" si="1"/>
        <v>17</v>
      </c>
      <c r="B35" s="28" t="s">
        <v>97</v>
      </c>
      <c r="C35" s="29" t="s">
        <v>96</v>
      </c>
      <c r="D35" s="30" t="s">
        <v>27</v>
      </c>
      <c r="E35" s="39">
        <v>975</v>
      </c>
      <c r="F35" s="39">
        <f t="shared" si="4"/>
        <v>975</v>
      </c>
      <c r="G35" s="64">
        <v>210.19</v>
      </c>
      <c r="H35" s="33">
        <f t="shared" si="2"/>
        <v>217</v>
      </c>
      <c r="I35" s="34">
        <f t="shared" si="0"/>
        <v>211575</v>
      </c>
      <c r="J35" s="35"/>
      <c r="K35" s="36"/>
      <c r="M35" s="68"/>
      <c r="N35" s="84"/>
      <c r="O35" s="5"/>
      <c r="P35" s="5"/>
      <c r="Q35" s="92"/>
      <c r="R35" s="92"/>
      <c r="S35" s="92"/>
      <c r="T35" s="92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17">
        <f t="shared" si="3"/>
        <v>0</v>
      </c>
    </row>
    <row r="36" spans="1:39" s="17" customFormat="1" ht="22.5" customHeight="1">
      <c r="A36" s="18">
        <f t="shared" si="1"/>
        <v>18</v>
      </c>
      <c r="B36" s="28" t="s">
        <v>38</v>
      </c>
      <c r="C36" s="29" t="s">
        <v>98</v>
      </c>
      <c r="D36" s="30" t="s">
        <v>27</v>
      </c>
      <c r="E36" s="39">
        <v>13250</v>
      </c>
      <c r="F36" s="39">
        <f t="shared" si="4"/>
        <v>13250</v>
      </c>
      <c r="G36" s="64">
        <v>88.59</v>
      </c>
      <c r="H36" s="33">
        <f t="shared" si="2"/>
        <v>92</v>
      </c>
      <c r="I36" s="34">
        <f t="shared" si="0"/>
        <v>1219000</v>
      </c>
      <c r="J36" s="35"/>
      <c r="K36" s="36"/>
      <c r="M36" s="68"/>
      <c r="N36" s="84"/>
      <c r="O36" s="5"/>
      <c r="P36" s="5"/>
      <c r="Q36" s="92"/>
      <c r="R36" s="92"/>
      <c r="S36" s="92"/>
      <c r="T36" s="92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17">
        <f t="shared" si="3"/>
        <v>0</v>
      </c>
    </row>
    <row r="37" spans="1:39" s="17" customFormat="1" ht="22.5" customHeight="1">
      <c r="A37" s="18">
        <f t="shared" si="1"/>
        <v>19</v>
      </c>
      <c r="B37" s="28" t="s">
        <v>101</v>
      </c>
      <c r="C37" s="29" t="s">
        <v>102</v>
      </c>
      <c r="D37" s="30" t="s">
        <v>27</v>
      </c>
      <c r="E37" s="39">
        <v>6020</v>
      </c>
      <c r="F37" s="39">
        <f t="shared" si="4"/>
        <v>6020</v>
      </c>
      <c r="G37" s="64">
        <v>113.87</v>
      </c>
      <c r="H37" s="33">
        <f t="shared" si="2"/>
        <v>118</v>
      </c>
      <c r="I37" s="34">
        <f t="shared" si="0"/>
        <v>710360</v>
      </c>
      <c r="J37" s="35"/>
      <c r="K37" s="36"/>
      <c r="M37" s="68"/>
      <c r="N37" s="84"/>
      <c r="O37" s="5"/>
      <c r="P37" s="5"/>
      <c r="Q37" s="92"/>
      <c r="R37" s="92"/>
      <c r="S37" s="92"/>
      <c r="T37" s="92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17">
        <f t="shared" si="3"/>
        <v>0</v>
      </c>
    </row>
    <row r="38" spans="1:39" s="17" customFormat="1" ht="22.5" customHeight="1">
      <c r="A38" s="18">
        <f t="shared" si="1"/>
        <v>20</v>
      </c>
      <c r="B38" s="28" t="s">
        <v>103</v>
      </c>
      <c r="C38" s="29" t="s">
        <v>104</v>
      </c>
      <c r="D38" s="30" t="s">
        <v>27</v>
      </c>
      <c r="E38" s="39">
        <v>400</v>
      </c>
      <c r="F38" s="39">
        <f t="shared" si="4"/>
        <v>400</v>
      </c>
      <c r="G38" s="64">
        <v>311.56</v>
      </c>
      <c r="H38" s="33">
        <f t="shared" si="2"/>
        <v>321</v>
      </c>
      <c r="I38" s="34">
        <f t="shared" si="0"/>
        <v>128400</v>
      </c>
      <c r="J38" s="35"/>
      <c r="K38" s="36"/>
      <c r="M38" s="68"/>
      <c r="N38" s="84"/>
      <c r="O38" s="5"/>
      <c r="P38" s="5"/>
      <c r="Q38" s="92"/>
      <c r="R38" s="92"/>
      <c r="S38" s="92"/>
      <c r="T38" s="92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17">
        <f t="shared" si="3"/>
        <v>0</v>
      </c>
    </row>
    <row r="39" spans="1:39" s="17" customFormat="1" ht="23.25" customHeight="1">
      <c r="A39" s="18">
        <f t="shared" si="1"/>
        <v>21</v>
      </c>
      <c r="B39" s="28" t="s">
        <v>57</v>
      </c>
      <c r="C39" s="37" t="s">
        <v>58</v>
      </c>
      <c r="D39" s="30" t="s">
        <v>56</v>
      </c>
      <c r="E39" s="39">
        <v>225</v>
      </c>
      <c r="F39" s="39">
        <f t="shared" si="4"/>
        <v>225</v>
      </c>
      <c r="G39" s="64">
        <v>658.91</v>
      </c>
      <c r="H39" s="33">
        <f t="shared" si="2"/>
        <v>679</v>
      </c>
      <c r="I39" s="34">
        <f t="shared" si="0"/>
        <v>152775</v>
      </c>
      <c r="J39" s="35"/>
      <c r="K39" s="36"/>
      <c r="M39" s="68"/>
      <c r="N39" s="84"/>
      <c r="O39" s="47"/>
      <c r="P39" s="5"/>
      <c r="Q39" s="89"/>
      <c r="R39" s="89"/>
      <c r="S39" s="89"/>
      <c r="T39" s="92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17">
        <f t="shared" si="3"/>
        <v>0</v>
      </c>
    </row>
    <row r="40" spans="1:39" s="17" customFormat="1" ht="23.25" customHeight="1">
      <c r="A40" s="18">
        <f t="shared" si="1"/>
        <v>22</v>
      </c>
      <c r="B40" s="28" t="s">
        <v>105</v>
      </c>
      <c r="C40" s="37" t="s">
        <v>106</v>
      </c>
      <c r="D40" s="30" t="s">
        <v>56</v>
      </c>
      <c r="E40" s="39">
        <v>25</v>
      </c>
      <c r="F40" s="39">
        <f t="shared" si="4"/>
        <v>25</v>
      </c>
      <c r="G40" s="64">
        <v>1526</v>
      </c>
      <c r="H40" s="33">
        <f t="shared" si="2"/>
        <v>1572</v>
      </c>
      <c r="I40" s="34">
        <f t="shared" si="0"/>
        <v>39300</v>
      </c>
      <c r="J40" s="35"/>
      <c r="K40" s="36"/>
      <c r="M40" s="68"/>
      <c r="N40" s="84"/>
      <c r="O40" s="47"/>
      <c r="P40" s="5"/>
      <c r="Q40" s="89"/>
      <c r="R40" s="89"/>
      <c r="S40" s="89"/>
      <c r="T40" s="92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17">
        <f t="shared" si="3"/>
        <v>0</v>
      </c>
    </row>
    <row r="41" spans="1:39" s="17" customFormat="1" ht="23.25" customHeight="1">
      <c r="A41" s="18">
        <f t="shared" si="1"/>
        <v>23</v>
      </c>
      <c r="B41" s="28" t="s">
        <v>339</v>
      </c>
      <c r="C41" s="37" t="s">
        <v>340</v>
      </c>
      <c r="D41" s="30" t="s">
        <v>56</v>
      </c>
      <c r="E41" s="39">
        <v>60</v>
      </c>
      <c r="F41" s="39">
        <f t="shared" si="4"/>
        <v>60</v>
      </c>
      <c r="G41" s="64">
        <v>1460</v>
      </c>
      <c r="H41" s="33">
        <f t="shared" si="2"/>
        <v>1504</v>
      </c>
      <c r="I41" s="34">
        <f>ROUNDUP(F41*H41,0)</f>
        <v>90240</v>
      </c>
      <c r="J41" s="35"/>
      <c r="K41" s="36"/>
      <c r="M41" s="68"/>
      <c r="N41" s="84"/>
      <c r="O41" s="47"/>
      <c r="P41" s="5"/>
      <c r="Q41" s="89"/>
      <c r="R41" s="89"/>
      <c r="S41" s="89"/>
      <c r="T41" s="92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17">
        <f t="shared" si="3"/>
        <v>0</v>
      </c>
    </row>
    <row r="42" spans="1:39" s="17" customFormat="1" ht="23.25" customHeight="1">
      <c r="A42" s="18">
        <f t="shared" si="1"/>
        <v>24</v>
      </c>
      <c r="B42" s="28" t="s">
        <v>178</v>
      </c>
      <c r="C42" s="37" t="s">
        <v>107</v>
      </c>
      <c r="D42" s="30" t="s">
        <v>12</v>
      </c>
      <c r="E42" s="38">
        <f>AM42</f>
        <v>4</v>
      </c>
      <c r="F42" s="39">
        <f t="shared" si="4"/>
        <v>4</v>
      </c>
      <c r="G42" s="64">
        <v>5960</v>
      </c>
      <c r="H42" s="33">
        <f t="shared" si="2"/>
        <v>6139</v>
      </c>
      <c r="I42" s="34">
        <f t="shared" si="0"/>
        <v>24556</v>
      </c>
      <c r="J42" s="35"/>
      <c r="K42" s="36"/>
      <c r="M42" s="68"/>
      <c r="O42" s="47"/>
      <c r="P42" s="5"/>
      <c r="Q42" s="94"/>
      <c r="R42" s="94">
        <v>1</v>
      </c>
      <c r="S42" s="94">
        <f>1</f>
        <v>1</v>
      </c>
      <c r="T42" s="94">
        <v>2</v>
      </c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17">
        <f t="shared" si="3"/>
        <v>4</v>
      </c>
    </row>
    <row r="43" spans="1:39" s="17" customFormat="1" ht="23.25" customHeight="1">
      <c r="A43" s="18">
        <f t="shared" si="1"/>
        <v>25</v>
      </c>
      <c r="B43" s="28" t="s">
        <v>179</v>
      </c>
      <c r="C43" s="37" t="s">
        <v>108</v>
      </c>
      <c r="D43" s="30" t="s">
        <v>12</v>
      </c>
      <c r="E43" s="38">
        <f aca="true" t="shared" si="5" ref="E43:E67">AM43</f>
        <v>0</v>
      </c>
      <c r="F43" s="39">
        <f t="shared" si="4"/>
        <v>0</v>
      </c>
      <c r="G43" s="64">
        <v>4832.36</v>
      </c>
      <c r="H43" s="33">
        <f t="shared" si="2"/>
        <v>4978</v>
      </c>
      <c r="I43" s="34">
        <f t="shared" si="0"/>
        <v>0</v>
      </c>
      <c r="J43" s="35"/>
      <c r="K43" s="36"/>
      <c r="M43" s="68"/>
      <c r="O43" s="47"/>
      <c r="P43" s="5"/>
      <c r="Q43" s="94"/>
      <c r="R43" s="94"/>
      <c r="S43" s="94"/>
      <c r="T43" s="94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17">
        <f t="shared" si="3"/>
        <v>0</v>
      </c>
    </row>
    <row r="44" spans="1:39" s="17" customFormat="1" ht="23.25" customHeight="1">
      <c r="A44" s="18">
        <f t="shared" si="1"/>
        <v>26</v>
      </c>
      <c r="B44" s="28" t="s">
        <v>180</v>
      </c>
      <c r="C44" s="37" t="s">
        <v>109</v>
      </c>
      <c r="D44" s="30" t="s">
        <v>12</v>
      </c>
      <c r="E44" s="38">
        <f t="shared" si="5"/>
        <v>4</v>
      </c>
      <c r="F44" s="39">
        <f t="shared" si="4"/>
        <v>4</v>
      </c>
      <c r="G44" s="64">
        <v>6155.49</v>
      </c>
      <c r="H44" s="33">
        <f t="shared" si="2"/>
        <v>6341</v>
      </c>
      <c r="I44" s="34">
        <f t="shared" si="0"/>
        <v>25364</v>
      </c>
      <c r="J44" s="35"/>
      <c r="K44" s="36"/>
      <c r="M44" s="68"/>
      <c r="O44" s="47"/>
      <c r="P44" s="5"/>
      <c r="Q44" s="94"/>
      <c r="R44" s="94"/>
      <c r="S44" s="94">
        <f>1</f>
        <v>1</v>
      </c>
      <c r="T44" s="94">
        <v>2</v>
      </c>
      <c r="U44" s="89"/>
      <c r="V44" s="89"/>
      <c r="W44" s="89"/>
      <c r="X44" s="89">
        <v>1</v>
      </c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17">
        <f t="shared" si="3"/>
        <v>4</v>
      </c>
    </row>
    <row r="45" spans="1:39" s="17" customFormat="1" ht="23.25" customHeight="1">
      <c r="A45" s="18">
        <f t="shared" si="1"/>
        <v>27</v>
      </c>
      <c r="B45" s="28" t="s">
        <v>181</v>
      </c>
      <c r="C45" s="37" t="s">
        <v>110</v>
      </c>
      <c r="D45" s="30" t="s">
        <v>12</v>
      </c>
      <c r="E45" s="38">
        <f t="shared" si="5"/>
        <v>0</v>
      </c>
      <c r="F45" s="39">
        <f t="shared" si="4"/>
        <v>0</v>
      </c>
      <c r="G45" s="64">
        <v>7055.77</v>
      </c>
      <c r="H45" s="33">
        <f t="shared" si="2"/>
        <v>7268</v>
      </c>
      <c r="I45" s="34">
        <f t="shared" si="0"/>
        <v>0</v>
      </c>
      <c r="J45" s="35"/>
      <c r="K45" s="36"/>
      <c r="M45" s="68"/>
      <c r="O45" s="47"/>
      <c r="P45" s="5"/>
      <c r="Q45" s="94"/>
      <c r="R45" s="94"/>
      <c r="S45" s="94"/>
      <c r="T45" s="94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17">
        <f t="shared" si="3"/>
        <v>0</v>
      </c>
    </row>
    <row r="46" spans="1:39" s="17" customFormat="1" ht="23.25" customHeight="1">
      <c r="A46" s="18">
        <f t="shared" si="1"/>
        <v>28</v>
      </c>
      <c r="B46" s="28" t="s">
        <v>182</v>
      </c>
      <c r="C46" s="37" t="s">
        <v>111</v>
      </c>
      <c r="D46" s="30" t="s">
        <v>12</v>
      </c>
      <c r="E46" s="38">
        <f t="shared" si="5"/>
        <v>1</v>
      </c>
      <c r="F46" s="39">
        <f t="shared" si="4"/>
        <v>1</v>
      </c>
      <c r="G46" s="64">
        <v>2926.8</v>
      </c>
      <c r="H46" s="33">
        <f t="shared" si="2"/>
        <v>3015</v>
      </c>
      <c r="I46" s="34">
        <f t="shared" si="0"/>
        <v>3015</v>
      </c>
      <c r="J46" s="35"/>
      <c r="K46" s="36"/>
      <c r="M46" s="68"/>
      <c r="O46" s="47"/>
      <c r="P46" s="5"/>
      <c r="Q46" s="94"/>
      <c r="R46" s="94">
        <f>1</f>
        <v>1</v>
      </c>
      <c r="S46" s="94"/>
      <c r="T46" s="94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17">
        <f t="shared" si="3"/>
        <v>1</v>
      </c>
    </row>
    <row r="47" spans="1:39" s="17" customFormat="1" ht="23.25" customHeight="1">
      <c r="A47" s="18">
        <f t="shared" si="1"/>
        <v>29</v>
      </c>
      <c r="B47" s="28" t="s">
        <v>183</v>
      </c>
      <c r="C47" s="37" t="s">
        <v>112</v>
      </c>
      <c r="D47" s="30" t="s">
        <v>12</v>
      </c>
      <c r="E47" s="38">
        <f t="shared" si="5"/>
        <v>47</v>
      </c>
      <c r="F47" s="39">
        <f t="shared" si="4"/>
        <v>47</v>
      </c>
      <c r="G47" s="64">
        <v>7277.03</v>
      </c>
      <c r="H47" s="33">
        <f t="shared" si="2"/>
        <v>7496</v>
      </c>
      <c r="I47" s="34">
        <f t="shared" si="0"/>
        <v>352312</v>
      </c>
      <c r="J47" s="35"/>
      <c r="K47" s="36"/>
      <c r="M47" s="68"/>
      <c r="O47" s="47"/>
      <c r="P47" s="5"/>
      <c r="Q47" s="94"/>
      <c r="R47" s="94"/>
      <c r="S47" s="94">
        <f>2</f>
        <v>2</v>
      </c>
      <c r="T47" s="94">
        <v>4</v>
      </c>
      <c r="U47" s="89">
        <v>4</v>
      </c>
      <c r="V47" s="89">
        <v>6</v>
      </c>
      <c r="W47" s="89">
        <v>7</v>
      </c>
      <c r="X47" s="89">
        <v>3</v>
      </c>
      <c r="Y47" s="89">
        <v>2</v>
      </c>
      <c r="Z47" s="89">
        <v>4</v>
      </c>
      <c r="AA47" s="89">
        <v>4</v>
      </c>
      <c r="AB47" s="89"/>
      <c r="AC47" s="89"/>
      <c r="AD47" s="89">
        <v>4</v>
      </c>
      <c r="AE47" s="89">
        <v>2</v>
      </c>
      <c r="AF47" s="89">
        <v>3</v>
      </c>
      <c r="AG47" s="89">
        <v>2</v>
      </c>
      <c r="AH47" s="89"/>
      <c r="AI47" s="89"/>
      <c r="AJ47" s="89"/>
      <c r="AK47" s="89"/>
      <c r="AL47" s="89"/>
      <c r="AM47" s="17">
        <f t="shared" si="3"/>
        <v>47</v>
      </c>
    </row>
    <row r="48" spans="1:39" s="17" customFormat="1" ht="22.5" customHeight="1">
      <c r="A48" s="18">
        <f t="shared" si="1"/>
        <v>30</v>
      </c>
      <c r="B48" s="28" t="s">
        <v>184</v>
      </c>
      <c r="C48" s="29" t="s">
        <v>81</v>
      </c>
      <c r="D48" s="30" t="s">
        <v>12</v>
      </c>
      <c r="E48" s="38">
        <f t="shared" si="5"/>
        <v>25</v>
      </c>
      <c r="F48" s="39">
        <f t="shared" si="4"/>
        <v>25</v>
      </c>
      <c r="G48" s="64">
        <v>3671.25</v>
      </c>
      <c r="H48" s="33">
        <f t="shared" si="2"/>
        <v>3782</v>
      </c>
      <c r="I48" s="34">
        <f t="shared" si="0"/>
        <v>94550</v>
      </c>
      <c r="J48" s="35"/>
      <c r="K48" s="36"/>
      <c r="M48" s="68"/>
      <c r="O48" s="5"/>
      <c r="P48" s="5"/>
      <c r="Q48" s="94"/>
      <c r="R48" s="94"/>
      <c r="S48" s="94">
        <f>2</f>
        <v>2</v>
      </c>
      <c r="T48" s="94">
        <v>2</v>
      </c>
      <c r="U48" s="89">
        <v>4</v>
      </c>
      <c r="V48" s="89">
        <v>2</v>
      </c>
      <c r="W48" s="89">
        <v>1</v>
      </c>
      <c r="X48" s="89"/>
      <c r="Y48" s="89">
        <v>2</v>
      </c>
      <c r="Z48" s="89">
        <v>4</v>
      </c>
      <c r="AA48" s="89">
        <v>4</v>
      </c>
      <c r="AB48" s="89"/>
      <c r="AC48" s="89"/>
      <c r="AD48" s="89"/>
      <c r="AE48" s="89">
        <v>2</v>
      </c>
      <c r="AF48" s="89">
        <v>1</v>
      </c>
      <c r="AG48" s="89">
        <v>1</v>
      </c>
      <c r="AH48" s="89"/>
      <c r="AI48" s="89"/>
      <c r="AJ48" s="89"/>
      <c r="AK48" s="89"/>
      <c r="AL48" s="89"/>
      <c r="AM48" s="17">
        <f t="shared" si="3"/>
        <v>25</v>
      </c>
    </row>
    <row r="49" spans="1:39" s="17" customFormat="1" ht="22.5" customHeight="1">
      <c r="A49" s="18">
        <f t="shared" si="1"/>
        <v>31</v>
      </c>
      <c r="B49" s="28" t="s">
        <v>185</v>
      </c>
      <c r="C49" s="29" t="s">
        <v>61</v>
      </c>
      <c r="D49" s="30" t="s">
        <v>12</v>
      </c>
      <c r="E49" s="38">
        <f t="shared" si="5"/>
        <v>6</v>
      </c>
      <c r="F49" s="39">
        <f t="shared" si="4"/>
        <v>6</v>
      </c>
      <c r="G49" s="64">
        <v>7277.03</v>
      </c>
      <c r="H49" s="33">
        <f t="shared" si="2"/>
        <v>7496</v>
      </c>
      <c r="I49" s="34">
        <f t="shared" si="0"/>
        <v>44976</v>
      </c>
      <c r="J49" s="35"/>
      <c r="K49" s="36"/>
      <c r="M49" s="68"/>
      <c r="O49" s="5"/>
      <c r="P49" s="5"/>
      <c r="Q49" s="94"/>
      <c r="R49" s="94">
        <v>1</v>
      </c>
      <c r="S49" s="94"/>
      <c r="T49" s="94"/>
      <c r="U49" s="89"/>
      <c r="V49" s="89"/>
      <c r="W49" s="89"/>
      <c r="X49" s="89"/>
      <c r="Y49" s="89"/>
      <c r="Z49" s="89"/>
      <c r="AA49" s="89"/>
      <c r="AB49" s="89">
        <v>2</v>
      </c>
      <c r="AC49" s="89">
        <v>3</v>
      </c>
      <c r="AD49" s="89"/>
      <c r="AE49" s="89"/>
      <c r="AF49" s="89"/>
      <c r="AG49" s="89"/>
      <c r="AH49" s="89"/>
      <c r="AI49" s="89"/>
      <c r="AJ49" s="89"/>
      <c r="AK49" s="89"/>
      <c r="AL49" s="89"/>
      <c r="AM49" s="17">
        <f t="shared" si="3"/>
        <v>6</v>
      </c>
    </row>
    <row r="50" spans="1:39" s="17" customFormat="1" ht="22.5" customHeight="1">
      <c r="A50" s="18">
        <f t="shared" si="1"/>
        <v>32</v>
      </c>
      <c r="B50" s="28" t="s">
        <v>186</v>
      </c>
      <c r="C50" s="37" t="s">
        <v>113</v>
      </c>
      <c r="D50" s="30" t="s">
        <v>12</v>
      </c>
      <c r="E50" s="38">
        <f t="shared" si="5"/>
        <v>3</v>
      </c>
      <c r="F50" s="39">
        <f t="shared" si="4"/>
        <v>3</v>
      </c>
      <c r="G50" s="64">
        <v>3949.57</v>
      </c>
      <c r="H50" s="33">
        <f t="shared" si="2"/>
        <v>4069</v>
      </c>
      <c r="I50" s="34">
        <f t="shared" si="0"/>
        <v>12207</v>
      </c>
      <c r="J50" s="35"/>
      <c r="K50" s="36"/>
      <c r="M50" s="68"/>
      <c r="O50" s="5"/>
      <c r="P50" s="5"/>
      <c r="Q50" s="94"/>
      <c r="R50" s="94"/>
      <c r="S50" s="94"/>
      <c r="T50" s="94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>
        <v>3</v>
      </c>
      <c r="AJ50" s="89"/>
      <c r="AK50" s="89"/>
      <c r="AL50" s="89"/>
      <c r="AM50" s="17">
        <f t="shared" si="3"/>
        <v>3</v>
      </c>
    </row>
    <row r="51" spans="1:39" s="17" customFormat="1" ht="22.5" customHeight="1">
      <c r="A51" s="18">
        <f t="shared" si="1"/>
        <v>33</v>
      </c>
      <c r="B51" s="28" t="s">
        <v>187</v>
      </c>
      <c r="C51" s="37" t="s">
        <v>114</v>
      </c>
      <c r="D51" s="30" t="s">
        <v>12</v>
      </c>
      <c r="E51" s="38">
        <f t="shared" si="5"/>
        <v>4</v>
      </c>
      <c r="F51" s="39">
        <f t="shared" si="4"/>
        <v>4</v>
      </c>
      <c r="G51" s="64">
        <v>7347.62</v>
      </c>
      <c r="H51" s="33">
        <f t="shared" si="2"/>
        <v>7569</v>
      </c>
      <c r="I51" s="34">
        <f t="shared" si="0"/>
        <v>30276</v>
      </c>
      <c r="J51" s="35"/>
      <c r="K51" s="36"/>
      <c r="M51" s="68"/>
      <c r="O51" s="5"/>
      <c r="P51" s="5"/>
      <c r="Q51" s="94"/>
      <c r="R51" s="94"/>
      <c r="S51" s="94"/>
      <c r="T51" s="94"/>
      <c r="U51" s="89"/>
      <c r="V51" s="89"/>
      <c r="W51" s="89"/>
      <c r="X51" s="89"/>
      <c r="Y51" s="89"/>
      <c r="Z51" s="89"/>
      <c r="AA51" s="89"/>
      <c r="AB51" s="89">
        <v>2</v>
      </c>
      <c r="AC51" s="89"/>
      <c r="AD51" s="89"/>
      <c r="AE51" s="89">
        <v>2</v>
      </c>
      <c r="AF51" s="89"/>
      <c r="AG51" s="89"/>
      <c r="AH51" s="89"/>
      <c r="AI51" s="89"/>
      <c r="AJ51" s="89"/>
      <c r="AK51" s="89"/>
      <c r="AL51" s="89"/>
      <c r="AM51" s="17">
        <f t="shared" si="3"/>
        <v>4</v>
      </c>
    </row>
    <row r="52" spans="1:39" s="17" customFormat="1" ht="22.5" customHeight="1">
      <c r="A52" s="18">
        <f t="shared" si="1"/>
        <v>34</v>
      </c>
      <c r="B52" s="28" t="s">
        <v>188</v>
      </c>
      <c r="C52" s="29" t="s">
        <v>62</v>
      </c>
      <c r="D52" s="30" t="s">
        <v>12</v>
      </c>
      <c r="E52" s="38">
        <f t="shared" si="5"/>
        <v>0</v>
      </c>
      <c r="F52" s="39">
        <f t="shared" si="4"/>
        <v>0</v>
      </c>
      <c r="G52" s="64">
        <v>2551.18</v>
      </c>
      <c r="H52" s="33">
        <f t="shared" si="2"/>
        <v>2628</v>
      </c>
      <c r="I52" s="34">
        <f t="shared" si="0"/>
        <v>0</v>
      </c>
      <c r="J52" s="35"/>
      <c r="K52" s="36"/>
      <c r="M52" s="68"/>
      <c r="O52" s="5"/>
      <c r="P52" s="5"/>
      <c r="Q52" s="94"/>
      <c r="R52" s="94"/>
      <c r="S52" s="94"/>
      <c r="T52" s="94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17">
        <f t="shared" si="3"/>
        <v>0</v>
      </c>
    </row>
    <row r="53" spans="1:39" s="17" customFormat="1" ht="22.5" customHeight="1">
      <c r="A53" s="18">
        <f t="shared" si="1"/>
        <v>35</v>
      </c>
      <c r="B53" s="28" t="s">
        <v>315</v>
      </c>
      <c r="C53" s="29" t="s">
        <v>316</v>
      </c>
      <c r="D53" s="30" t="s">
        <v>12</v>
      </c>
      <c r="E53" s="38">
        <f t="shared" si="5"/>
        <v>5</v>
      </c>
      <c r="F53" s="39">
        <f t="shared" si="4"/>
        <v>5</v>
      </c>
      <c r="G53" s="64">
        <v>8246.4</v>
      </c>
      <c r="H53" s="33">
        <f aca="true" t="shared" si="6" ref="H53:H82">_xlfn.CEILING.MATH(G53*(1+$K$9),1)</f>
        <v>8494</v>
      </c>
      <c r="I53" s="34">
        <f>ROUNDUP(F53*H53,0)</f>
        <v>42470</v>
      </c>
      <c r="J53" s="35"/>
      <c r="K53" s="36"/>
      <c r="M53" s="68"/>
      <c r="O53" s="5"/>
      <c r="P53" s="5"/>
      <c r="Q53" s="94"/>
      <c r="R53" s="94"/>
      <c r="S53" s="94">
        <f>1</f>
        <v>1</v>
      </c>
      <c r="T53" s="94">
        <v>1</v>
      </c>
      <c r="U53" s="89"/>
      <c r="V53" s="89"/>
      <c r="W53" s="89"/>
      <c r="X53" s="89"/>
      <c r="Y53" s="89"/>
      <c r="Z53" s="89"/>
      <c r="AA53" s="89"/>
      <c r="AB53" s="89">
        <v>2</v>
      </c>
      <c r="AC53" s="89"/>
      <c r="AD53" s="89"/>
      <c r="AE53" s="89"/>
      <c r="AF53" s="89">
        <v>1</v>
      </c>
      <c r="AG53" s="89"/>
      <c r="AH53" s="89"/>
      <c r="AI53" s="89"/>
      <c r="AJ53" s="89"/>
      <c r="AK53" s="89"/>
      <c r="AL53" s="89"/>
      <c r="AM53" s="17">
        <f t="shared" si="3"/>
        <v>5</v>
      </c>
    </row>
    <row r="54" spans="1:39" s="17" customFormat="1" ht="22.5" customHeight="1">
      <c r="A54" s="18">
        <f t="shared" si="1"/>
        <v>36</v>
      </c>
      <c r="B54" s="28" t="s">
        <v>116</v>
      </c>
      <c r="C54" s="29" t="s">
        <v>115</v>
      </c>
      <c r="D54" s="30" t="s">
        <v>12</v>
      </c>
      <c r="E54" s="38">
        <f t="shared" si="5"/>
        <v>8</v>
      </c>
      <c r="F54" s="39">
        <f t="shared" si="4"/>
        <v>8</v>
      </c>
      <c r="G54" s="64">
        <v>6535.38</v>
      </c>
      <c r="H54" s="33">
        <f t="shared" si="6"/>
        <v>6732</v>
      </c>
      <c r="I54" s="34">
        <f t="shared" si="0"/>
        <v>53856</v>
      </c>
      <c r="J54" s="35"/>
      <c r="K54" s="36"/>
      <c r="M54" s="68"/>
      <c r="O54" s="5"/>
      <c r="P54" s="5"/>
      <c r="Q54" s="94">
        <v>2</v>
      </c>
      <c r="R54" s="94"/>
      <c r="S54" s="94"/>
      <c r="T54" s="94">
        <v>1</v>
      </c>
      <c r="U54" s="89"/>
      <c r="V54" s="89"/>
      <c r="W54" s="89"/>
      <c r="X54" s="89"/>
      <c r="Y54" s="89"/>
      <c r="Z54" s="89"/>
      <c r="AA54" s="89">
        <v>2</v>
      </c>
      <c r="AB54" s="89"/>
      <c r="AC54" s="89"/>
      <c r="AD54" s="89"/>
      <c r="AE54" s="89"/>
      <c r="AF54" s="89">
        <v>1</v>
      </c>
      <c r="AG54" s="89"/>
      <c r="AH54" s="89">
        <v>2</v>
      </c>
      <c r="AI54" s="89"/>
      <c r="AJ54" s="89"/>
      <c r="AK54" s="89"/>
      <c r="AL54" s="89"/>
      <c r="AM54" s="17">
        <f t="shared" si="3"/>
        <v>8</v>
      </c>
    </row>
    <row r="55" spans="1:39" s="17" customFormat="1" ht="22.5" customHeight="1">
      <c r="A55" s="18">
        <f t="shared" si="1"/>
        <v>37</v>
      </c>
      <c r="B55" s="28" t="s">
        <v>133</v>
      </c>
      <c r="C55" s="37" t="s">
        <v>132</v>
      </c>
      <c r="D55" s="30" t="s">
        <v>11</v>
      </c>
      <c r="E55" s="38">
        <f t="shared" si="5"/>
        <v>0</v>
      </c>
      <c r="F55" s="39">
        <f t="shared" si="4"/>
        <v>0</v>
      </c>
      <c r="G55" s="64">
        <v>106.59</v>
      </c>
      <c r="H55" s="33">
        <f t="shared" si="6"/>
        <v>110</v>
      </c>
      <c r="I55" s="34">
        <f>ROUNDUP(F55*H55,0)</f>
        <v>0</v>
      </c>
      <c r="J55" s="35"/>
      <c r="K55" s="36"/>
      <c r="M55" s="68"/>
      <c r="O55" s="5"/>
      <c r="P55" s="5"/>
      <c r="Q55" s="94"/>
      <c r="R55" s="94"/>
      <c r="S55" s="94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17">
        <f t="shared" si="3"/>
        <v>0</v>
      </c>
    </row>
    <row r="56" spans="1:39" s="17" customFormat="1" ht="22.5" customHeight="1">
      <c r="A56" s="18">
        <f t="shared" si="1"/>
        <v>38</v>
      </c>
      <c r="B56" s="28" t="s">
        <v>131</v>
      </c>
      <c r="C56" s="29" t="s">
        <v>134</v>
      </c>
      <c r="D56" s="30" t="s">
        <v>11</v>
      </c>
      <c r="E56" s="38">
        <f t="shared" si="5"/>
        <v>427</v>
      </c>
      <c r="F56" s="39">
        <f t="shared" si="4"/>
        <v>427</v>
      </c>
      <c r="G56" s="64">
        <v>108.83</v>
      </c>
      <c r="H56" s="33">
        <f>_xlfn.CEILING.MATH(G56*(1+$K$9),1)</f>
        <v>113</v>
      </c>
      <c r="I56" s="34">
        <f>ROUNDUP(F56*H56,0)</f>
        <v>48251</v>
      </c>
      <c r="J56" s="35"/>
      <c r="K56" s="36"/>
      <c r="M56" s="68"/>
      <c r="O56" s="5"/>
      <c r="P56" s="5"/>
      <c r="Q56" s="94"/>
      <c r="R56" s="94"/>
      <c r="S56" s="94"/>
      <c r="T56" s="94"/>
      <c r="U56" s="89"/>
      <c r="V56" s="89"/>
      <c r="W56" s="89"/>
      <c r="X56" s="89"/>
      <c r="Y56" s="89"/>
      <c r="Z56" s="89"/>
      <c r="AA56" s="89">
        <f>26+62+339</f>
        <v>427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17">
        <f t="shared" si="3"/>
        <v>427</v>
      </c>
    </row>
    <row r="57" spans="1:39" s="17" customFormat="1" ht="22.5" customHeight="1">
      <c r="A57" s="18">
        <f t="shared" si="1"/>
        <v>39</v>
      </c>
      <c r="B57" s="28" t="s">
        <v>350</v>
      </c>
      <c r="C57" s="29" t="s">
        <v>346</v>
      </c>
      <c r="D57" s="30" t="s">
        <v>11</v>
      </c>
      <c r="E57" s="38">
        <f t="shared" si="5"/>
        <v>141</v>
      </c>
      <c r="F57" s="39">
        <f t="shared" si="4"/>
        <v>141</v>
      </c>
      <c r="G57" s="64">
        <v>139.93</v>
      </c>
      <c r="H57" s="33">
        <f>_xlfn.CEILING.MATH(G57*(1+$K$9),1)</f>
        <v>145</v>
      </c>
      <c r="I57" s="34">
        <f>ROUNDUP(F57*H57,0)</f>
        <v>20445</v>
      </c>
      <c r="J57" s="35"/>
      <c r="K57" s="36"/>
      <c r="M57" s="68"/>
      <c r="O57" s="5"/>
      <c r="P57" s="5"/>
      <c r="Q57" s="94"/>
      <c r="R57" s="94"/>
      <c r="S57" s="94"/>
      <c r="T57" s="94"/>
      <c r="U57" s="89"/>
      <c r="V57" s="89"/>
      <c r="W57" s="89"/>
      <c r="X57" s="89"/>
      <c r="Y57" s="89"/>
      <c r="Z57" s="89"/>
      <c r="AA57" s="89">
        <v>7</v>
      </c>
      <c r="AB57" s="89">
        <v>134</v>
      </c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17">
        <f t="shared" si="3"/>
        <v>141</v>
      </c>
    </row>
    <row r="58" spans="1:39" s="17" customFormat="1" ht="22.5" customHeight="1">
      <c r="A58" s="18">
        <f t="shared" si="1"/>
        <v>40</v>
      </c>
      <c r="B58" s="28" t="s">
        <v>130</v>
      </c>
      <c r="C58" s="29" t="s">
        <v>129</v>
      </c>
      <c r="D58" s="30" t="s">
        <v>11</v>
      </c>
      <c r="E58" s="38">
        <f t="shared" si="5"/>
        <v>122</v>
      </c>
      <c r="F58" s="39">
        <f t="shared" si="4"/>
        <v>122</v>
      </c>
      <c r="G58" s="64">
        <v>181.92</v>
      </c>
      <c r="H58" s="33">
        <f t="shared" si="6"/>
        <v>188</v>
      </c>
      <c r="I58" s="34">
        <f>ROUNDUP(F58*H58,0)</f>
        <v>22936</v>
      </c>
      <c r="J58" s="35"/>
      <c r="K58" s="36"/>
      <c r="M58" s="68"/>
      <c r="O58" s="5"/>
      <c r="P58" s="5"/>
      <c r="Q58" s="94"/>
      <c r="R58" s="94"/>
      <c r="S58" s="94"/>
      <c r="T58" s="94"/>
      <c r="U58" s="89"/>
      <c r="V58" s="89"/>
      <c r="W58" s="89"/>
      <c r="X58" s="89"/>
      <c r="Y58" s="89"/>
      <c r="Z58" s="89"/>
      <c r="AA58" s="89">
        <v>122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17">
        <f t="shared" si="3"/>
        <v>122</v>
      </c>
    </row>
    <row r="59" spans="1:39" s="17" customFormat="1" ht="22.5" customHeight="1">
      <c r="A59" s="18">
        <f t="shared" si="1"/>
        <v>41</v>
      </c>
      <c r="B59" s="28" t="s">
        <v>351</v>
      </c>
      <c r="C59" s="29" t="s">
        <v>347</v>
      </c>
      <c r="D59" s="30" t="s">
        <v>11</v>
      </c>
      <c r="E59" s="38">
        <f t="shared" si="5"/>
        <v>130</v>
      </c>
      <c r="F59" s="39">
        <f t="shared" si="4"/>
        <v>130</v>
      </c>
      <c r="G59" s="64">
        <v>211.39</v>
      </c>
      <c r="H59" s="33">
        <f>_xlfn.CEILING.MATH(G59*(1+$K$9),1)</f>
        <v>218</v>
      </c>
      <c r="I59" s="34">
        <f>ROUNDUP(F59*H59,0)</f>
        <v>28340</v>
      </c>
      <c r="J59" s="35"/>
      <c r="K59" s="36"/>
      <c r="M59" s="68"/>
      <c r="O59" s="5"/>
      <c r="P59" s="5"/>
      <c r="Q59" s="94"/>
      <c r="R59" s="94"/>
      <c r="S59" s="94"/>
      <c r="T59" s="94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>
        <f>120+10</f>
        <v>130</v>
      </c>
      <c r="AG59" s="89"/>
      <c r="AH59" s="89"/>
      <c r="AI59" s="89"/>
      <c r="AJ59" s="89"/>
      <c r="AK59" s="89"/>
      <c r="AL59" s="89"/>
      <c r="AM59" s="17">
        <f t="shared" si="3"/>
        <v>130</v>
      </c>
    </row>
    <row r="60" spans="1:39" s="17" customFormat="1" ht="22.5" customHeight="1">
      <c r="A60" s="18">
        <f t="shared" si="1"/>
        <v>42</v>
      </c>
      <c r="B60" s="28" t="s">
        <v>118</v>
      </c>
      <c r="C60" s="29" t="s">
        <v>117</v>
      </c>
      <c r="D60" s="30" t="s">
        <v>11</v>
      </c>
      <c r="E60" s="38">
        <f t="shared" si="5"/>
        <v>4138</v>
      </c>
      <c r="F60" s="39">
        <f t="shared" si="4"/>
        <v>4138</v>
      </c>
      <c r="G60" s="64">
        <v>86.33</v>
      </c>
      <c r="H60" s="33">
        <f t="shared" si="6"/>
        <v>89</v>
      </c>
      <c r="I60" s="34">
        <f t="shared" si="0"/>
        <v>368282</v>
      </c>
      <c r="J60" s="35"/>
      <c r="K60" s="36"/>
      <c r="M60" s="68"/>
      <c r="O60" s="5"/>
      <c r="P60" s="5"/>
      <c r="Q60" s="94"/>
      <c r="R60" s="94">
        <v>102</v>
      </c>
      <c r="S60" s="94">
        <f>(93+90)</f>
        <v>183</v>
      </c>
      <c r="T60" s="94">
        <f>90+90+198+12+6+73+35</f>
        <v>504</v>
      </c>
      <c r="U60" s="89">
        <f>12+102+6+12+5</f>
        <v>137</v>
      </c>
      <c r="V60" s="89">
        <f>95+102+12+102+126+12</f>
        <v>449</v>
      </c>
      <c r="W60" s="89">
        <f>12+66+102+102+102</f>
        <v>384</v>
      </c>
      <c r="X60" s="89">
        <f>99+110+221</f>
        <v>430</v>
      </c>
      <c r="Y60" s="89">
        <f>12+6</f>
        <v>18</v>
      </c>
      <c r="Z60" s="89">
        <f>87+102+6+6+12+177</f>
        <v>390</v>
      </c>
      <c r="AA60" s="89">
        <f>99+86+20+102+6+102</f>
        <v>415</v>
      </c>
      <c r="AB60" s="89">
        <f>102+102</f>
        <v>204</v>
      </c>
      <c r="AC60" s="89">
        <v>102</v>
      </c>
      <c r="AD60" s="89">
        <f>102+114</f>
        <v>216</v>
      </c>
      <c r="AE60" s="89">
        <f>116+102</f>
        <v>218</v>
      </c>
      <c r="AF60" s="89">
        <f>102+284</f>
        <v>386</v>
      </c>
      <c r="AG60" s="89"/>
      <c r="AH60" s="89"/>
      <c r="AI60" s="89"/>
      <c r="AJ60" s="89"/>
      <c r="AK60" s="89"/>
      <c r="AL60" s="89"/>
      <c r="AM60" s="17">
        <f t="shared" si="3"/>
        <v>4138</v>
      </c>
    </row>
    <row r="61" spans="1:39" s="17" customFormat="1" ht="22.5" customHeight="1">
      <c r="A61" s="18">
        <f t="shared" si="1"/>
        <v>43</v>
      </c>
      <c r="B61" s="28" t="s">
        <v>120</v>
      </c>
      <c r="C61" s="29" t="s">
        <v>119</v>
      </c>
      <c r="D61" s="30" t="s">
        <v>11</v>
      </c>
      <c r="E61" s="38">
        <f t="shared" si="5"/>
        <v>3257</v>
      </c>
      <c r="F61" s="39">
        <f t="shared" si="4"/>
        <v>3257</v>
      </c>
      <c r="G61" s="64">
        <v>100</v>
      </c>
      <c r="H61" s="33">
        <f t="shared" si="6"/>
        <v>103</v>
      </c>
      <c r="I61" s="34">
        <f t="shared" si="0"/>
        <v>335471</v>
      </c>
      <c r="J61" s="35"/>
      <c r="K61" s="36"/>
      <c r="M61" s="68"/>
      <c r="O61" s="5"/>
      <c r="P61" s="5"/>
      <c r="Q61" s="94"/>
      <c r="R61" s="94">
        <f>(71+83+220)</f>
        <v>374</v>
      </c>
      <c r="S61" s="94"/>
      <c r="T61" s="94"/>
      <c r="U61" s="89"/>
      <c r="V61" s="89"/>
      <c r="W61" s="89">
        <f>295</f>
        <v>295</v>
      </c>
      <c r="X61" s="89">
        <v>227</v>
      </c>
      <c r="Y61" s="89">
        <f>117+208</f>
        <v>325</v>
      </c>
      <c r="Z61" s="89">
        <v>252</v>
      </c>
      <c r="AA61" s="89"/>
      <c r="AB61" s="89">
        <v>349</v>
      </c>
      <c r="AC61" s="89"/>
      <c r="AD61" s="89"/>
      <c r="AE61" s="89">
        <v>240</v>
      </c>
      <c r="AF61" s="89">
        <f>277+85</f>
        <v>362</v>
      </c>
      <c r="AG61" s="89">
        <f>117+213+213</f>
        <v>543</v>
      </c>
      <c r="AH61" s="89">
        <f>140+150</f>
        <v>290</v>
      </c>
      <c r="AI61" s="89"/>
      <c r="AJ61" s="89"/>
      <c r="AK61" s="89"/>
      <c r="AL61" s="89"/>
      <c r="AM61" s="17">
        <f t="shared" si="3"/>
        <v>3257</v>
      </c>
    </row>
    <row r="62" spans="1:39" s="17" customFormat="1" ht="22.5" customHeight="1">
      <c r="A62" s="18">
        <f t="shared" si="1"/>
        <v>44</v>
      </c>
      <c r="B62" s="28" t="s">
        <v>122</v>
      </c>
      <c r="C62" s="29" t="s">
        <v>121</v>
      </c>
      <c r="D62" s="30" t="s">
        <v>11</v>
      </c>
      <c r="E62" s="38">
        <f t="shared" si="5"/>
        <v>2632</v>
      </c>
      <c r="F62" s="39">
        <f t="shared" si="4"/>
        <v>2632</v>
      </c>
      <c r="G62" s="64">
        <v>114.46</v>
      </c>
      <c r="H62" s="33">
        <f t="shared" si="6"/>
        <v>118</v>
      </c>
      <c r="I62" s="34">
        <f t="shared" si="0"/>
        <v>310576</v>
      </c>
      <c r="J62" s="35"/>
      <c r="K62" s="36"/>
      <c r="M62" s="68"/>
      <c r="O62" s="5"/>
      <c r="P62" s="5"/>
      <c r="Q62" s="94"/>
      <c r="R62" s="94"/>
      <c r="S62" s="94"/>
      <c r="T62" s="94"/>
      <c r="U62" s="89">
        <v>229</v>
      </c>
      <c r="V62" s="89">
        <f>218+56+237</f>
        <v>511</v>
      </c>
      <c r="W62" s="89">
        <v>229</v>
      </c>
      <c r="X62" s="89"/>
      <c r="Y62" s="89"/>
      <c r="Z62" s="89">
        <v>325</v>
      </c>
      <c r="AA62" s="89">
        <v>162</v>
      </c>
      <c r="AB62" s="89">
        <v>234</v>
      </c>
      <c r="AC62" s="89"/>
      <c r="AD62" s="89"/>
      <c r="AE62" s="89">
        <v>288</v>
      </c>
      <c r="AF62" s="89">
        <f>217+247</f>
        <v>464</v>
      </c>
      <c r="AG62" s="89"/>
      <c r="AH62" s="89">
        <v>120</v>
      </c>
      <c r="AI62" s="89">
        <v>70</v>
      </c>
      <c r="AJ62" s="89"/>
      <c r="AK62" s="89"/>
      <c r="AL62" s="89"/>
      <c r="AM62" s="17">
        <f t="shared" si="3"/>
        <v>2632</v>
      </c>
    </row>
    <row r="63" spans="1:39" s="17" customFormat="1" ht="22.5" customHeight="1">
      <c r="A63" s="18">
        <f t="shared" si="1"/>
        <v>45</v>
      </c>
      <c r="B63" s="28" t="s">
        <v>124</v>
      </c>
      <c r="C63" s="29" t="s">
        <v>123</v>
      </c>
      <c r="D63" s="30" t="s">
        <v>11</v>
      </c>
      <c r="E63" s="38">
        <f t="shared" si="5"/>
        <v>2533</v>
      </c>
      <c r="F63" s="39">
        <f t="shared" si="4"/>
        <v>2533</v>
      </c>
      <c r="G63" s="64">
        <v>137.92</v>
      </c>
      <c r="H63" s="33">
        <f t="shared" si="6"/>
        <v>143</v>
      </c>
      <c r="I63" s="34">
        <f t="shared" si="0"/>
        <v>362219</v>
      </c>
      <c r="J63" s="35"/>
      <c r="K63" s="36"/>
      <c r="M63" s="68"/>
      <c r="O63" s="5"/>
      <c r="P63" s="5"/>
      <c r="Q63" s="94"/>
      <c r="R63" s="94"/>
      <c r="S63" s="94">
        <f>(262+216)</f>
        <v>478</v>
      </c>
      <c r="T63" s="94">
        <f>170+124+101+74+314</f>
        <v>783</v>
      </c>
      <c r="U63" s="89">
        <v>165</v>
      </c>
      <c r="V63" s="89"/>
      <c r="W63" s="89"/>
      <c r="X63" s="89"/>
      <c r="Y63" s="89"/>
      <c r="Z63" s="89"/>
      <c r="AA63" s="89"/>
      <c r="AB63" s="89"/>
      <c r="AC63" s="89">
        <f>297+162</f>
        <v>459</v>
      </c>
      <c r="AD63" s="89">
        <f>331+317</f>
        <v>648</v>
      </c>
      <c r="AE63" s="89"/>
      <c r="AF63" s="89"/>
      <c r="AG63" s="89"/>
      <c r="AH63" s="89"/>
      <c r="AI63" s="89"/>
      <c r="AJ63" s="89"/>
      <c r="AK63" s="89"/>
      <c r="AL63" s="89"/>
      <c r="AM63" s="17">
        <f t="shared" si="3"/>
        <v>2533</v>
      </c>
    </row>
    <row r="64" spans="1:39" s="17" customFormat="1" ht="22.5" customHeight="1">
      <c r="A64" s="18">
        <f t="shared" si="1"/>
        <v>46</v>
      </c>
      <c r="B64" s="28" t="s">
        <v>126</v>
      </c>
      <c r="C64" s="29" t="s">
        <v>125</v>
      </c>
      <c r="D64" s="30" t="s">
        <v>11</v>
      </c>
      <c r="E64" s="38">
        <f t="shared" si="5"/>
        <v>1002</v>
      </c>
      <c r="F64" s="39">
        <f t="shared" si="4"/>
        <v>1002</v>
      </c>
      <c r="G64" s="64">
        <v>207.9</v>
      </c>
      <c r="H64" s="33">
        <f t="shared" si="6"/>
        <v>215</v>
      </c>
      <c r="I64" s="34">
        <f t="shared" si="0"/>
        <v>215430</v>
      </c>
      <c r="J64" s="35"/>
      <c r="K64" s="36"/>
      <c r="M64" s="68"/>
      <c r="O64" s="5"/>
      <c r="P64" s="5"/>
      <c r="Q64" s="94"/>
      <c r="R64" s="94"/>
      <c r="S64" s="94">
        <f>182+250</f>
        <v>432</v>
      </c>
      <c r="T64" s="94"/>
      <c r="U64" s="89"/>
      <c r="V64" s="89"/>
      <c r="W64" s="89"/>
      <c r="X64" s="89"/>
      <c r="Y64" s="89"/>
      <c r="Z64" s="89"/>
      <c r="AA64" s="89">
        <v>7</v>
      </c>
      <c r="AB64" s="89"/>
      <c r="AC64" s="89"/>
      <c r="AD64" s="89"/>
      <c r="AE64" s="89">
        <f>277+286</f>
        <v>563</v>
      </c>
      <c r="AF64" s="89"/>
      <c r="AG64" s="89"/>
      <c r="AH64" s="89"/>
      <c r="AI64" s="89"/>
      <c r="AJ64" s="89"/>
      <c r="AK64" s="89"/>
      <c r="AL64" s="89"/>
      <c r="AM64" s="17">
        <f t="shared" si="3"/>
        <v>1002</v>
      </c>
    </row>
    <row r="65" spans="1:39" s="17" customFormat="1" ht="22.5" customHeight="1">
      <c r="A65" s="18">
        <f t="shared" si="1"/>
        <v>47</v>
      </c>
      <c r="B65" s="28" t="s">
        <v>128</v>
      </c>
      <c r="C65" s="29" t="s">
        <v>127</v>
      </c>
      <c r="D65" s="30" t="s">
        <v>11</v>
      </c>
      <c r="E65" s="38">
        <f t="shared" si="5"/>
        <v>220</v>
      </c>
      <c r="F65" s="39">
        <f t="shared" si="4"/>
        <v>220</v>
      </c>
      <c r="G65" s="64">
        <v>197.06</v>
      </c>
      <c r="H65" s="33">
        <f t="shared" si="6"/>
        <v>203</v>
      </c>
      <c r="I65" s="34">
        <f t="shared" si="0"/>
        <v>44660</v>
      </c>
      <c r="J65" s="35"/>
      <c r="K65" s="36"/>
      <c r="M65" s="68"/>
      <c r="O65" s="5"/>
      <c r="P65" s="5"/>
      <c r="Q65" s="94">
        <v>220</v>
      </c>
      <c r="R65" s="94"/>
      <c r="S65" s="94"/>
      <c r="T65" s="94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17">
        <f t="shared" si="3"/>
        <v>220</v>
      </c>
    </row>
    <row r="66" spans="1:39" s="17" customFormat="1" ht="22.5" customHeight="1">
      <c r="A66" s="18">
        <f t="shared" si="1"/>
        <v>48</v>
      </c>
      <c r="B66" s="28" t="s">
        <v>352</v>
      </c>
      <c r="C66" s="29" t="s">
        <v>345</v>
      </c>
      <c r="D66" s="30" t="s">
        <v>12</v>
      </c>
      <c r="E66" s="38">
        <f t="shared" si="5"/>
        <v>2</v>
      </c>
      <c r="F66" s="39">
        <f t="shared" si="4"/>
        <v>2</v>
      </c>
      <c r="G66" s="64">
        <v>2410.72</v>
      </c>
      <c r="H66" s="33">
        <f t="shared" si="6"/>
        <v>2484</v>
      </c>
      <c r="I66" s="34">
        <f t="shared" si="0"/>
        <v>4968</v>
      </c>
      <c r="J66" s="35"/>
      <c r="K66" s="36"/>
      <c r="M66" s="68"/>
      <c r="O66" s="5"/>
      <c r="P66" s="5"/>
      <c r="Q66" s="94"/>
      <c r="R66" s="94"/>
      <c r="S66" s="94"/>
      <c r="T66" s="94"/>
      <c r="U66" s="89"/>
      <c r="V66" s="89"/>
      <c r="W66" s="89"/>
      <c r="X66" s="89"/>
      <c r="Y66" s="89"/>
      <c r="Z66" s="89"/>
      <c r="AA66" s="89">
        <v>2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17">
        <f t="shared" si="3"/>
        <v>2</v>
      </c>
    </row>
    <row r="67" spans="1:39" s="17" customFormat="1" ht="22.5" customHeight="1">
      <c r="A67" s="18">
        <f t="shared" si="1"/>
        <v>49</v>
      </c>
      <c r="B67" s="28" t="s">
        <v>353</v>
      </c>
      <c r="C67" s="29" t="s">
        <v>348</v>
      </c>
      <c r="D67" s="30" t="s">
        <v>12</v>
      </c>
      <c r="E67" s="38">
        <f t="shared" si="5"/>
        <v>5</v>
      </c>
      <c r="F67" s="39">
        <f t="shared" si="4"/>
        <v>5</v>
      </c>
      <c r="G67" s="64">
        <v>1628.61</v>
      </c>
      <c r="H67" s="33">
        <f t="shared" si="6"/>
        <v>1678</v>
      </c>
      <c r="I67" s="34">
        <f t="shared" si="0"/>
        <v>8390</v>
      </c>
      <c r="J67" s="35"/>
      <c r="K67" s="36"/>
      <c r="M67" s="68"/>
      <c r="O67" s="5"/>
      <c r="P67" s="5"/>
      <c r="Q67" s="94">
        <v>1</v>
      </c>
      <c r="R67" s="94"/>
      <c r="S67" s="94"/>
      <c r="T67" s="94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>
        <v>4</v>
      </c>
      <c r="AI67" s="89"/>
      <c r="AJ67" s="89"/>
      <c r="AK67" s="89"/>
      <c r="AL67" s="89"/>
      <c r="AM67" s="17">
        <f t="shared" si="3"/>
        <v>5</v>
      </c>
    </row>
    <row r="68" spans="1:39" s="17" customFormat="1" ht="22.5" customHeight="1">
      <c r="A68" s="18">
        <f t="shared" si="1"/>
        <v>50</v>
      </c>
      <c r="B68" s="28" t="s">
        <v>77</v>
      </c>
      <c r="C68" s="29" t="s">
        <v>75</v>
      </c>
      <c r="D68" s="30" t="s">
        <v>12</v>
      </c>
      <c r="E68" s="38">
        <v>2</v>
      </c>
      <c r="F68" s="39">
        <f t="shared" si="4"/>
        <v>2</v>
      </c>
      <c r="G68" s="64">
        <v>3217.07</v>
      </c>
      <c r="H68" s="33">
        <f t="shared" si="6"/>
        <v>3314</v>
      </c>
      <c r="I68" s="34">
        <f t="shared" si="0"/>
        <v>6628</v>
      </c>
      <c r="J68" s="35"/>
      <c r="K68" s="36"/>
      <c r="M68" s="68"/>
      <c r="O68" s="5"/>
      <c r="P68" s="5"/>
      <c r="Q68" s="94"/>
      <c r="R68" s="94"/>
      <c r="S68" s="94"/>
      <c r="T68" s="94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17">
        <f t="shared" si="3"/>
        <v>0</v>
      </c>
    </row>
    <row r="69" spans="1:39" s="17" customFormat="1" ht="22.5" customHeight="1">
      <c r="A69" s="18">
        <f t="shared" si="1"/>
        <v>51</v>
      </c>
      <c r="B69" s="28" t="s">
        <v>78</v>
      </c>
      <c r="C69" s="29" t="s">
        <v>76</v>
      </c>
      <c r="D69" s="30" t="s">
        <v>12</v>
      </c>
      <c r="E69" s="38">
        <v>1</v>
      </c>
      <c r="F69" s="39">
        <f t="shared" si="4"/>
        <v>1</v>
      </c>
      <c r="G69" s="64">
        <v>4213</v>
      </c>
      <c r="H69" s="33">
        <f t="shared" si="6"/>
        <v>4340</v>
      </c>
      <c r="I69" s="34">
        <f t="shared" si="0"/>
        <v>4340</v>
      </c>
      <c r="J69" s="35"/>
      <c r="K69" s="36"/>
      <c r="M69" s="68"/>
      <c r="O69" s="5"/>
      <c r="P69" s="5"/>
      <c r="Q69" s="94"/>
      <c r="R69" s="94"/>
      <c r="S69" s="94"/>
      <c r="T69" s="94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17">
        <f t="shared" si="3"/>
        <v>0</v>
      </c>
    </row>
    <row r="70" spans="1:39" s="17" customFormat="1" ht="22.5" customHeight="1">
      <c r="A70" s="18">
        <f t="shared" si="1"/>
        <v>52</v>
      </c>
      <c r="B70" s="28" t="s">
        <v>138</v>
      </c>
      <c r="C70" s="29" t="s">
        <v>135</v>
      </c>
      <c r="D70" s="30" t="s">
        <v>12</v>
      </c>
      <c r="E70" s="38">
        <v>1</v>
      </c>
      <c r="F70" s="39">
        <f t="shared" si="4"/>
        <v>1</v>
      </c>
      <c r="G70" s="64">
        <v>5750</v>
      </c>
      <c r="H70" s="33">
        <f t="shared" si="6"/>
        <v>5923</v>
      </c>
      <c r="I70" s="34">
        <f t="shared" si="0"/>
        <v>5923</v>
      </c>
      <c r="J70" s="35"/>
      <c r="K70" s="36"/>
      <c r="M70" s="68"/>
      <c r="O70" s="5"/>
      <c r="P70" s="5"/>
      <c r="Q70" s="94">
        <v>2</v>
      </c>
      <c r="R70" s="94"/>
      <c r="S70" s="94"/>
      <c r="T70" s="94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17">
        <f t="shared" si="3"/>
        <v>2</v>
      </c>
    </row>
    <row r="71" spans="1:39" s="17" customFormat="1" ht="22.5" customHeight="1">
      <c r="A71" s="18">
        <f t="shared" si="1"/>
        <v>53</v>
      </c>
      <c r="B71" s="28" t="s">
        <v>59</v>
      </c>
      <c r="C71" s="29" t="s">
        <v>60</v>
      </c>
      <c r="D71" s="30" t="s">
        <v>11</v>
      </c>
      <c r="E71" s="39">
        <v>500</v>
      </c>
      <c r="F71" s="39">
        <f t="shared" si="4"/>
        <v>500</v>
      </c>
      <c r="G71" s="64">
        <v>67.63</v>
      </c>
      <c r="H71" s="33">
        <f t="shared" si="6"/>
        <v>70</v>
      </c>
      <c r="I71" s="34">
        <f t="shared" si="0"/>
        <v>35000</v>
      </c>
      <c r="J71" s="35"/>
      <c r="K71" s="36"/>
      <c r="M71" s="68"/>
      <c r="O71" s="5"/>
      <c r="P71" s="5"/>
      <c r="Q71" s="94"/>
      <c r="R71" s="94"/>
      <c r="S71" s="94"/>
      <c r="T71" s="94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17">
        <f t="shared" si="3"/>
        <v>0</v>
      </c>
    </row>
    <row r="72" spans="1:39" s="17" customFormat="1" ht="22.5" customHeight="1">
      <c r="A72" s="18">
        <f t="shared" si="1"/>
        <v>54</v>
      </c>
      <c r="B72" s="28" t="s">
        <v>33</v>
      </c>
      <c r="C72" s="29" t="s">
        <v>47</v>
      </c>
      <c r="D72" s="30" t="s">
        <v>11</v>
      </c>
      <c r="E72" s="39">
        <v>39700</v>
      </c>
      <c r="F72" s="39">
        <f t="shared" si="4"/>
        <v>39700</v>
      </c>
      <c r="G72" s="64">
        <v>20.36</v>
      </c>
      <c r="H72" s="33">
        <f t="shared" si="6"/>
        <v>21</v>
      </c>
      <c r="I72" s="34">
        <f t="shared" si="0"/>
        <v>833700</v>
      </c>
      <c r="J72" s="35"/>
      <c r="K72" s="36"/>
      <c r="M72" s="68"/>
      <c r="O72" s="5"/>
      <c r="P72" s="5"/>
      <c r="Q72" s="389">
        <f>(29885-29423)+(29887-29422)+(5*2+(31247-30096)*2)+((31045-30116)+30+(20071-20011))+(45+35+(31310-31182))</f>
        <v>4466</v>
      </c>
      <c r="R72" s="390"/>
      <c r="S72" s="390"/>
      <c r="T72" s="391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17">
        <f t="shared" si="3"/>
        <v>4466</v>
      </c>
    </row>
    <row r="73" spans="1:39" s="17" customFormat="1" ht="22.5" customHeight="1">
      <c r="A73" s="18">
        <f t="shared" si="1"/>
        <v>55</v>
      </c>
      <c r="B73" s="28" t="s">
        <v>28</v>
      </c>
      <c r="C73" s="29" t="s">
        <v>48</v>
      </c>
      <c r="D73" s="30" t="s">
        <v>10</v>
      </c>
      <c r="E73" s="39">
        <v>4800</v>
      </c>
      <c r="F73" s="39">
        <f t="shared" si="4"/>
        <v>4800</v>
      </c>
      <c r="G73" s="64">
        <v>32</v>
      </c>
      <c r="H73" s="33">
        <f t="shared" si="6"/>
        <v>33</v>
      </c>
      <c r="I73" s="34">
        <f t="shared" si="0"/>
        <v>158400</v>
      </c>
      <c r="J73" s="35"/>
      <c r="K73" s="36"/>
      <c r="M73" s="68"/>
      <c r="O73" s="52"/>
      <c r="P73" s="5"/>
      <c r="Q73" s="94"/>
      <c r="R73" s="94"/>
      <c r="S73" s="94"/>
      <c r="T73" s="94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17">
        <f t="shared" si="3"/>
        <v>0</v>
      </c>
    </row>
    <row r="74" spans="1:39" s="17" customFormat="1" ht="22.5" customHeight="1">
      <c r="A74" s="18">
        <f t="shared" si="1"/>
        <v>56</v>
      </c>
      <c r="B74" s="28" t="s">
        <v>25</v>
      </c>
      <c r="C74" s="29" t="s">
        <v>49</v>
      </c>
      <c r="D74" s="30" t="s">
        <v>10</v>
      </c>
      <c r="E74" s="39">
        <v>2200</v>
      </c>
      <c r="F74" s="39">
        <f t="shared" si="4"/>
        <v>2200</v>
      </c>
      <c r="G74" s="64">
        <v>56.21</v>
      </c>
      <c r="H74" s="33">
        <f t="shared" si="6"/>
        <v>58</v>
      </c>
      <c r="I74" s="34">
        <f t="shared" si="0"/>
        <v>127600</v>
      </c>
      <c r="J74" s="35"/>
      <c r="K74" s="36"/>
      <c r="M74" s="68"/>
      <c r="Q74" s="94"/>
      <c r="R74" s="94"/>
      <c r="S74" s="94"/>
      <c r="T74" s="94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17">
        <f t="shared" si="3"/>
        <v>0</v>
      </c>
    </row>
    <row r="75" spans="1:39" s="17" customFormat="1" ht="22.5" customHeight="1">
      <c r="A75" s="18">
        <f t="shared" si="1"/>
        <v>57</v>
      </c>
      <c r="B75" s="28" t="s">
        <v>63</v>
      </c>
      <c r="C75" s="29" t="s">
        <v>64</v>
      </c>
      <c r="D75" s="30" t="s">
        <v>10</v>
      </c>
      <c r="E75" s="38">
        <v>750</v>
      </c>
      <c r="F75" s="39">
        <f t="shared" si="4"/>
        <v>750</v>
      </c>
      <c r="G75" s="64">
        <v>21.17</v>
      </c>
      <c r="H75" s="33">
        <f t="shared" si="6"/>
        <v>22</v>
      </c>
      <c r="I75" s="34">
        <f t="shared" si="0"/>
        <v>16500</v>
      </c>
      <c r="J75" s="35"/>
      <c r="K75" s="36"/>
      <c r="M75" s="68"/>
      <c r="Q75" s="94"/>
      <c r="R75" s="94"/>
      <c r="S75" s="94"/>
      <c r="T75" s="94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17">
        <f t="shared" si="3"/>
        <v>0</v>
      </c>
    </row>
    <row r="76" spans="1:39" s="17" customFormat="1" ht="22.5" customHeight="1">
      <c r="A76" s="18">
        <f t="shared" si="1"/>
        <v>58</v>
      </c>
      <c r="B76" s="28" t="s">
        <v>29</v>
      </c>
      <c r="C76" s="29" t="s">
        <v>50</v>
      </c>
      <c r="D76" s="30" t="s">
        <v>30</v>
      </c>
      <c r="E76" s="38">
        <f>AM76</f>
        <v>674</v>
      </c>
      <c r="F76" s="39">
        <f t="shared" si="4"/>
        <v>674</v>
      </c>
      <c r="G76" s="64">
        <v>26.95</v>
      </c>
      <c r="H76" s="33">
        <f t="shared" si="6"/>
        <v>28</v>
      </c>
      <c r="I76" s="34">
        <f t="shared" si="0"/>
        <v>18872</v>
      </c>
      <c r="J76" s="35"/>
      <c r="K76" s="36"/>
      <c r="M76" s="68"/>
      <c r="Q76" s="94"/>
      <c r="R76" s="94">
        <f>(10*5*2)</f>
        <v>100</v>
      </c>
      <c r="S76" s="94"/>
      <c r="T76" s="94">
        <f>(12+12+5+5)*2</f>
        <v>68</v>
      </c>
      <c r="U76" s="89"/>
      <c r="V76" s="89"/>
      <c r="W76" s="89"/>
      <c r="X76" s="89">
        <v>48</v>
      </c>
      <c r="Y76" s="89">
        <v>120</v>
      </c>
      <c r="Z76" s="89"/>
      <c r="AA76" s="89">
        <v>50</v>
      </c>
      <c r="AB76" s="89"/>
      <c r="AC76" s="89"/>
      <c r="AD76" s="89">
        <v>130</v>
      </c>
      <c r="AE76" s="89"/>
      <c r="AF76" s="89"/>
      <c r="AG76" s="89">
        <v>130</v>
      </c>
      <c r="AH76" s="89"/>
      <c r="AI76" s="89">
        <v>28</v>
      </c>
      <c r="AJ76" s="89"/>
      <c r="AK76" s="89"/>
      <c r="AL76" s="89"/>
      <c r="AM76" s="17">
        <f t="shared" si="3"/>
        <v>674</v>
      </c>
    </row>
    <row r="77" spans="1:39" s="17" customFormat="1" ht="22.5" customHeight="1">
      <c r="A77" s="18">
        <f t="shared" si="1"/>
        <v>59</v>
      </c>
      <c r="B77" s="28" t="s">
        <v>139</v>
      </c>
      <c r="C77" s="29" t="s">
        <v>140</v>
      </c>
      <c r="D77" s="30" t="s">
        <v>11</v>
      </c>
      <c r="E77" s="40">
        <v>2500</v>
      </c>
      <c r="F77" s="39">
        <f t="shared" si="4"/>
        <v>2500</v>
      </c>
      <c r="G77" s="64">
        <v>15.18</v>
      </c>
      <c r="H77" s="33">
        <f t="shared" si="6"/>
        <v>16</v>
      </c>
      <c r="I77" s="34">
        <f t="shared" si="0"/>
        <v>40000</v>
      </c>
      <c r="J77" s="35"/>
      <c r="K77" s="36"/>
      <c r="M77" s="68"/>
      <c r="N77" s="84"/>
      <c r="O77" s="5"/>
      <c r="P77" s="5"/>
      <c r="Q77" s="92"/>
      <c r="R77" s="92"/>
      <c r="S77" s="92"/>
      <c r="T77" s="92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17">
        <f t="shared" si="3"/>
        <v>0</v>
      </c>
    </row>
    <row r="78" spans="1:39" s="17" customFormat="1" ht="22.5" customHeight="1">
      <c r="A78" s="18">
        <f t="shared" si="1"/>
        <v>60</v>
      </c>
      <c r="B78" s="28" t="s">
        <v>26</v>
      </c>
      <c r="C78" s="37" t="s">
        <v>51</v>
      </c>
      <c r="D78" s="30" t="s">
        <v>10</v>
      </c>
      <c r="E78" s="39">
        <v>30000</v>
      </c>
      <c r="F78" s="39">
        <f t="shared" si="4"/>
        <v>30000</v>
      </c>
      <c r="G78" s="64">
        <v>2.42</v>
      </c>
      <c r="H78" s="33">
        <f t="shared" si="6"/>
        <v>3</v>
      </c>
      <c r="I78" s="34">
        <f t="shared" si="0"/>
        <v>90000</v>
      </c>
      <c r="J78" s="35"/>
      <c r="K78" s="36"/>
      <c r="M78" s="68"/>
      <c r="N78" s="84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17">
        <f t="shared" si="3"/>
        <v>0</v>
      </c>
    </row>
    <row r="79" spans="1:14" s="17" customFormat="1" ht="22.5" customHeight="1">
      <c r="A79" s="18">
        <f t="shared" si="1"/>
        <v>61</v>
      </c>
      <c r="B79" s="28" t="s">
        <v>285</v>
      </c>
      <c r="C79" s="37" t="s">
        <v>284</v>
      </c>
      <c r="D79" s="30" t="s">
        <v>9</v>
      </c>
      <c r="E79" s="31">
        <v>1</v>
      </c>
      <c r="F79" s="39">
        <f>E79</f>
        <v>1</v>
      </c>
      <c r="G79" s="83">
        <v>2500000</v>
      </c>
      <c r="H79" s="33">
        <f t="shared" si="6"/>
        <v>2575000</v>
      </c>
      <c r="I79" s="34">
        <f t="shared" si="0"/>
        <v>2575000</v>
      </c>
      <c r="J79" s="35"/>
      <c r="K79" s="36"/>
      <c r="M79" s="68"/>
      <c r="N79" s="84"/>
    </row>
    <row r="80" spans="1:14" s="17" customFormat="1" ht="22.5" customHeight="1">
      <c r="A80" s="18">
        <f t="shared" si="1"/>
        <v>62</v>
      </c>
      <c r="B80" s="28"/>
      <c r="C80" s="37" t="s">
        <v>136</v>
      </c>
      <c r="D80" s="30" t="s">
        <v>9</v>
      </c>
      <c r="E80" s="31">
        <v>1</v>
      </c>
      <c r="F80" s="39">
        <f>E80</f>
        <v>1</v>
      </c>
      <c r="G80" s="64">
        <v>40000</v>
      </c>
      <c r="H80" s="33">
        <f t="shared" si="6"/>
        <v>41200</v>
      </c>
      <c r="I80" s="34">
        <f t="shared" si="0"/>
        <v>41200</v>
      </c>
      <c r="J80" s="35"/>
      <c r="K80" s="36"/>
      <c r="M80" s="68"/>
      <c r="N80" s="84"/>
    </row>
    <row r="81" spans="1:14" s="17" customFormat="1" ht="22.5" customHeight="1">
      <c r="A81" s="18">
        <f t="shared" si="1"/>
        <v>63</v>
      </c>
      <c r="B81" s="28"/>
      <c r="C81" s="37" t="s">
        <v>137</v>
      </c>
      <c r="D81" s="30" t="s">
        <v>9</v>
      </c>
      <c r="E81" s="31">
        <v>1</v>
      </c>
      <c r="F81" s="39">
        <f>E81</f>
        <v>1</v>
      </c>
      <c r="G81" s="64">
        <v>158500</v>
      </c>
      <c r="H81" s="33">
        <f t="shared" si="6"/>
        <v>163255</v>
      </c>
      <c r="I81" s="34">
        <f t="shared" si="0"/>
        <v>163255</v>
      </c>
      <c r="J81" s="35"/>
      <c r="K81" s="36"/>
      <c r="M81" s="68"/>
      <c r="N81" s="84"/>
    </row>
    <row r="82" spans="1:14" s="17" customFormat="1" ht="22.5" customHeight="1" thickBot="1">
      <c r="A82" s="18">
        <f t="shared" si="1"/>
        <v>64</v>
      </c>
      <c r="B82" s="28"/>
      <c r="C82" s="37" t="s">
        <v>141</v>
      </c>
      <c r="D82" s="30" t="s">
        <v>9</v>
      </c>
      <c r="E82" s="31">
        <v>1</v>
      </c>
      <c r="F82" s="39">
        <f>E82</f>
        <v>1</v>
      </c>
      <c r="G82" s="64">
        <v>124500</v>
      </c>
      <c r="H82" s="33">
        <f t="shared" si="6"/>
        <v>128235</v>
      </c>
      <c r="I82" s="34">
        <f t="shared" si="0"/>
        <v>128235</v>
      </c>
      <c r="J82" s="35"/>
      <c r="K82" s="36"/>
      <c r="M82" s="68"/>
      <c r="N82" s="84"/>
    </row>
    <row r="83" spans="1:16" ht="23.25" customHeight="1" thickBot="1" thickTop="1">
      <c r="A83" s="59"/>
      <c r="B83" s="60"/>
      <c r="C83" s="60"/>
      <c r="D83" s="60"/>
      <c r="E83" s="60"/>
      <c r="F83" s="101"/>
      <c r="G83" s="60"/>
      <c r="H83" s="62" t="s">
        <v>52</v>
      </c>
      <c r="I83" s="61">
        <f>SUM(I19:I82)</f>
        <v>15813749</v>
      </c>
      <c r="J83" s="15"/>
      <c r="K83" s="15"/>
      <c r="M83" s="41"/>
      <c r="N83" s="45"/>
      <c r="O83" s="17"/>
      <c r="P83" s="11"/>
    </row>
    <row r="84" spans="1:16" ht="23.25" customHeight="1" thickBot="1" thickTop="1">
      <c r="A84" s="342" t="s">
        <v>150</v>
      </c>
      <c r="B84" s="343"/>
      <c r="C84" s="343"/>
      <c r="D84" s="343"/>
      <c r="E84" s="343"/>
      <c r="F84" s="343"/>
      <c r="G84" s="343"/>
      <c r="H84" s="343"/>
      <c r="I84" s="344"/>
      <c r="J84" s="15"/>
      <c r="K84" s="15"/>
      <c r="M84" s="16"/>
      <c r="N84" s="16"/>
      <c r="O84" s="17"/>
      <c r="P84" s="11"/>
    </row>
    <row r="85" spans="1:16" s="17" customFormat="1" ht="23.25" customHeight="1" thickTop="1">
      <c r="A85" s="18">
        <f>A82+1</f>
        <v>65</v>
      </c>
      <c r="B85" s="19" t="s">
        <v>286</v>
      </c>
      <c r="C85" s="20" t="s">
        <v>287</v>
      </c>
      <c r="D85" s="21" t="s">
        <v>34</v>
      </c>
      <c r="E85" s="21">
        <v>23</v>
      </c>
      <c r="F85" s="39">
        <f>E85</f>
        <v>23</v>
      </c>
      <c r="G85" s="86">
        <v>336.24</v>
      </c>
      <c r="H85" s="33">
        <f aca="true" t="shared" si="7" ref="H85:H99">_xlfn.CEILING.MATH(G85*(1+$K$9),1)</f>
        <v>347</v>
      </c>
      <c r="I85" s="34">
        <f aca="true" t="shared" si="8" ref="I85:I99">ROUNDUP(F85*H85,0)</f>
        <v>7981</v>
      </c>
      <c r="J85" s="35"/>
      <c r="K85" s="36"/>
      <c r="M85" s="68"/>
      <c r="N85" s="45"/>
      <c r="P85" s="16"/>
    </row>
    <row r="86" spans="1:17" s="17" customFormat="1" ht="23.25" customHeight="1">
      <c r="A86" s="18">
        <f>A85+1</f>
        <v>66</v>
      </c>
      <c r="B86" s="28" t="s">
        <v>288</v>
      </c>
      <c r="C86" s="29" t="s">
        <v>289</v>
      </c>
      <c r="D86" s="30" t="s">
        <v>34</v>
      </c>
      <c r="E86" s="30">
        <v>6</v>
      </c>
      <c r="F86" s="39">
        <f aca="true" t="shared" si="9" ref="F86:F99">E86</f>
        <v>6</v>
      </c>
      <c r="G86" s="32">
        <v>1317.04</v>
      </c>
      <c r="H86" s="33">
        <f t="shared" si="7"/>
        <v>1357</v>
      </c>
      <c r="I86" s="34">
        <f t="shared" si="8"/>
        <v>8142</v>
      </c>
      <c r="J86" s="35"/>
      <c r="K86" s="36"/>
      <c r="M86" s="68"/>
      <c r="N86" s="45"/>
      <c r="Q86" s="16"/>
    </row>
    <row r="87" spans="1:18" s="17" customFormat="1" ht="23.25" customHeight="1">
      <c r="A87" s="18">
        <f aca="true" t="shared" si="10" ref="A87:A99">A86+1</f>
        <v>67</v>
      </c>
      <c r="B87" s="28" t="s">
        <v>290</v>
      </c>
      <c r="C87" s="29" t="s">
        <v>291</v>
      </c>
      <c r="D87" s="30" t="s">
        <v>12</v>
      </c>
      <c r="E87" s="39">
        <v>6</v>
      </c>
      <c r="F87" s="39">
        <f t="shared" si="9"/>
        <v>6</v>
      </c>
      <c r="G87" s="64">
        <v>120.79</v>
      </c>
      <c r="H87" s="33">
        <f t="shared" si="7"/>
        <v>125</v>
      </c>
      <c r="I87" s="34">
        <f t="shared" si="8"/>
        <v>750</v>
      </c>
      <c r="J87" s="35"/>
      <c r="K87" s="36"/>
      <c r="M87" s="68"/>
      <c r="N87" s="45"/>
      <c r="O87" s="70"/>
      <c r="Q87" s="63"/>
      <c r="R87" s="71"/>
    </row>
    <row r="88" spans="1:19" s="17" customFormat="1" ht="23.25" customHeight="1">
      <c r="A88" s="18">
        <f t="shared" si="10"/>
        <v>68</v>
      </c>
      <c r="B88" s="28" t="s">
        <v>292</v>
      </c>
      <c r="C88" s="29" t="s">
        <v>293</v>
      </c>
      <c r="D88" s="30" t="s">
        <v>11</v>
      </c>
      <c r="E88" s="39">
        <v>725</v>
      </c>
      <c r="F88" s="39">
        <f t="shared" si="9"/>
        <v>725</v>
      </c>
      <c r="G88" s="64">
        <v>4.12</v>
      </c>
      <c r="H88" s="33">
        <f t="shared" si="7"/>
        <v>5</v>
      </c>
      <c r="I88" s="34">
        <f t="shared" si="8"/>
        <v>3625</v>
      </c>
      <c r="J88" s="35"/>
      <c r="K88" s="36"/>
      <c r="M88" s="68"/>
      <c r="N88" s="45"/>
      <c r="Q88" s="63"/>
      <c r="R88" s="71"/>
      <c r="S88" s="5"/>
    </row>
    <row r="89" spans="1:20" s="17" customFormat="1" ht="23.25" customHeight="1">
      <c r="A89" s="18">
        <f t="shared" si="10"/>
        <v>69</v>
      </c>
      <c r="B89" s="28" t="s">
        <v>294</v>
      </c>
      <c r="C89" s="37" t="s">
        <v>295</v>
      </c>
      <c r="D89" s="30" t="s">
        <v>79</v>
      </c>
      <c r="E89" s="85">
        <v>0.674</v>
      </c>
      <c r="F89" s="39">
        <f t="shared" si="9"/>
        <v>0.674</v>
      </c>
      <c r="G89" s="64">
        <v>3028.52</v>
      </c>
      <c r="H89" s="33">
        <f t="shared" si="7"/>
        <v>3120</v>
      </c>
      <c r="I89" s="34">
        <f t="shared" si="8"/>
        <v>2103</v>
      </c>
      <c r="J89" s="35"/>
      <c r="K89" s="36"/>
      <c r="M89" s="68"/>
      <c r="N89" s="45"/>
      <c r="P89" s="5"/>
      <c r="T89" s="5"/>
    </row>
    <row r="90" spans="1:20" s="17" customFormat="1" ht="23.25" customHeight="1">
      <c r="A90" s="18">
        <f t="shared" si="10"/>
        <v>70</v>
      </c>
      <c r="B90" s="28" t="s">
        <v>296</v>
      </c>
      <c r="C90" s="37" t="s">
        <v>297</v>
      </c>
      <c r="D90" s="30" t="s">
        <v>11</v>
      </c>
      <c r="E90" s="39">
        <v>970</v>
      </c>
      <c r="F90" s="39">
        <f t="shared" si="9"/>
        <v>970</v>
      </c>
      <c r="G90" s="64">
        <v>4.22</v>
      </c>
      <c r="H90" s="33">
        <f t="shared" si="7"/>
        <v>5</v>
      </c>
      <c r="I90" s="34">
        <f t="shared" si="8"/>
        <v>4850</v>
      </c>
      <c r="J90" s="35"/>
      <c r="K90" s="36"/>
      <c r="M90" s="68"/>
      <c r="N90" s="45"/>
      <c r="P90" s="5"/>
      <c r="Q90" s="72"/>
      <c r="T90" s="5"/>
    </row>
    <row r="91" spans="1:20" s="17" customFormat="1" ht="23.25" customHeight="1">
      <c r="A91" s="18">
        <f t="shared" si="10"/>
        <v>71</v>
      </c>
      <c r="B91" s="28" t="s">
        <v>80</v>
      </c>
      <c r="C91" s="37" t="s">
        <v>298</v>
      </c>
      <c r="D91" s="30" t="s">
        <v>11</v>
      </c>
      <c r="E91" s="39">
        <v>3600</v>
      </c>
      <c r="F91" s="39">
        <f t="shared" si="9"/>
        <v>3600</v>
      </c>
      <c r="G91" s="64">
        <v>8.43</v>
      </c>
      <c r="H91" s="33">
        <f t="shared" si="7"/>
        <v>9</v>
      </c>
      <c r="I91" s="34">
        <f t="shared" si="8"/>
        <v>32400</v>
      </c>
      <c r="J91" s="35"/>
      <c r="K91" s="36"/>
      <c r="M91" s="68"/>
      <c r="N91" s="45"/>
      <c r="P91" s="67"/>
      <c r="T91" s="5"/>
    </row>
    <row r="92" spans="1:20" s="17" customFormat="1" ht="23.25" customHeight="1">
      <c r="A92" s="18">
        <f t="shared" si="10"/>
        <v>72</v>
      </c>
      <c r="B92" s="28" t="s">
        <v>299</v>
      </c>
      <c r="C92" s="37" t="s">
        <v>300</v>
      </c>
      <c r="D92" s="30" t="s">
        <v>11</v>
      </c>
      <c r="E92" s="39">
        <v>3800</v>
      </c>
      <c r="F92" s="39">
        <f t="shared" si="9"/>
        <v>3800</v>
      </c>
      <c r="G92" s="64">
        <v>15.55</v>
      </c>
      <c r="H92" s="33">
        <f t="shared" si="7"/>
        <v>17</v>
      </c>
      <c r="I92" s="34">
        <f t="shared" si="8"/>
        <v>64600</v>
      </c>
      <c r="J92" s="35"/>
      <c r="K92" s="36"/>
      <c r="M92" s="68"/>
      <c r="N92" s="45"/>
      <c r="P92" s="5"/>
      <c r="T92" s="5"/>
    </row>
    <row r="93" spans="1:20" s="17" customFormat="1" ht="23.25" customHeight="1">
      <c r="A93" s="18">
        <f t="shared" si="10"/>
        <v>73</v>
      </c>
      <c r="B93" s="28" t="s">
        <v>301</v>
      </c>
      <c r="C93" s="37" t="s">
        <v>302</v>
      </c>
      <c r="D93" s="30" t="s">
        <v>12</v>
      </c>
      <c r="E93" s="39">
        <v>51</v>
      </c>
      <c r="F93" s="39">
        <f t="shared" si="9"/>
        <v>51</v>
      </c>
      <c r="G93" s="64">
        <v>161.9</v>
      </c>
      <c r="H93" s="33">
        <f t="shared" si="7"/>
        <v>167</v>
      </c>
      <c r="I93" s="34">
        <f t="shared" si="8"/>
        <v>8517</v>
      </c>
      <c r="J93" s="35"/>
      <c r="K93" s="36"/>
      <c r="M93" s="68"/>
      <c r="N93" s="45"/>
      <c r="P93" s="5"/>
      <c r="Q93" s="5"/>
      <c r="R93" s="5"/>
      <c r="S93" s="5"/>
      <c r="T93" s="5"/>
    </row>
    <row r="94" spans="1:20" s="17" customFormat="1" ht="23.25" customHeight="1">
      <c r="A94" s="18">
        <f t="shared" si="10"/>
        <v>74</v>
      </c>
      <c r="B94" s="28" t="s">
        <v>303</v>
      </c>
      <c r="C94" s="37" t="s">
        <v>304</v>
      </c>
      <c r="D94" s="30" t="s">
        <v>12</v>
      </c>
      <c r="E94" s="39">
        <v>138</v>
      </c>
      <c r="F94" s="39">
        <f t="shared" si="9"/>
        <v>138</v>
      </c>
      <c r="G94" s="64">
        <v>87.1</v>
      </c>
      <c r="H94" s="33">
        <f t="shared" si="7"/>
        <v>90</v>
      </c>
      <c r="I94" s="34">
        <f t="shared" si="8"/>
        <v>12420</v>
      </c>
      <c r="J94" s="35"/>
      <c r="K94" s="36"/>
      <c r="M94" s="68"/>
      <c r="N94" s="45"/>
      <c r="O94" s="47"/>
      <c r="P94" s="5"/>
      <c r="Q94" s="5"/>
      <c r="R94" s="5"/>
      <c r="S94" s="5"/>
      <c r="T94" s="5"/>
    </row>
    <row r="95" spans="1:20" s="17" customFormat="1" ht="23.25" customHeight="1">
      <c r="A95" s="18">
        <f t="shared" si="10"/>
        <v>75</v>
      </c>
      <c r="B95" s="28" t="s">
        <v>305</v>
      </c>
      <c r="C95" s="37" t="s">
        <v>306</v>
      </c>
      <c r="D95" s="30" t="s">
        <v>79</v>
      </c>
      <c r="E95" s="85">
        <v>8.812</v>
      </c>
      <c r="F95" s="39">
        <f t="shared" si="9"/>
        <v>8.812</v>
      </c>
      <c r="G95" s="64">
        <v>4589.37</v>
      </c>
      <c r="H95" s="33">
        <f t="shared" si="7"/>
        <v>4728</v>
      </c>
      <c r="I95" s="34">
        <f t="shared" si="8"/>
        <v>41664</v>
      </c>
      <c r="J95" s="35"/>
      <c r="K95" s="36"/>
      <c r="M95" s="68"/>
      <c r="N95" s="45"/>
      <c r="O95" s="47"/>
      <c r="P95" s="5"/>
      <c r="Q95" s="5"/>
      <c r="R95" s="5"/>
      <c r="S95" s="5"/>
      <c r="T95" s="5"/>
    </row>
    <row r="96" spans="1:20" s="17" customFormat="1" ht="23.25" customHeight="1">
      <c r="A96" s="18">
        <f t="shared" si="10"/>
        <v>76</v>
      </c>
      <c r="B96" s="28" t="s">
        <v>307</v>
      </c>
      <c r="C96" s="37" t="s">
        <v>308</v>
      </c>
      <c r="D96" s="30" t="s">
        <v>79</v>
      </c>
      <c r="E96" s="85">
        <v>0.246</v>
      </c>
      <c r="F96" s="39">
        <f t="shared" si="9"/>
        <v>0.246</v>
      </c>
      <c r="G96" s="64">
        <v>6073.72</v>
      </c>
      <c r="H96" s="33">
        <f t="shared" si="7"/>
        <v>6256</v>
      </c>
      <c r="I96" s="34">
        <f t="shared" si="8"/>
        <v>1539</v>
      </c>
      <c r="J96" s="35"/>
      <c r="K96" s="36"/>
      <c r="M96" s="68"/>
      <c r="N96" s="45"/>
      <c r="Q96" s="5"/>
      <c r="R96" s="5"/>
      <c r="S96" s="5"/>
      <c r="T96" s="5"/>
    </row>
    <row r="97" spans="1:20" s="17" customFormat="1" ht="23.25" customHeight="1">
      <c r="A97" s="18">
        <f t="shared" si="10"/>
        <v>77</v>
      </c>
      <c r="B97" s="28" t="s">
        <v>309</v>
      </c>
      <c r="C97" s="37" t="s">
        <v>310</v>
      </c>
      <c r="D97" s="30" t="s">
        <v>79</v>
      </c>
      <c r="E97" s="85">
        <v>3.169</v>
      </c>
      <c r="F97" s="39">
        <f t="shared" si="9"/>
        <v>3.169</v>
      </c>
      <c r="G97" s="64">
        <v>1207.93</v>
      </c>
      <c r="H97" s="33">
        <f t="shared" si="7"/>
        <v>1245</v>
      </c>
      <c r="I97" s="34">
        <f t="shared" si="8"/>
        <v>3946</v>
      </c>
      <c r="J97" s="35"/>
      <c r="K97" s="36"/>
      <c r="M97" s="68"/>
      <c r="N97" s="45"/>
      <c r="Q97" s="5"/>
      <c r="R97" s="5"/>
      <c r="S97" s="5"/>
      <c r="T97" s="5"/>
    </row>
    <row r="98" spans="1:20" s="17" customFormat="1" ht="23.25" customHeight="1">
      <c r="A98" s="18">
        <f t="shared" si="10"/>
        <v>78</v>
      </c>
      <c r="B98" s="28" t="s">
        <v>311</v>
      </c>
      <c r="C98" s="37" t="s">
        <v>312</v>
      </c>
      <c r="D98" s="30" t="s">
        <v>79</v>
      </c>
      <c r="E98" s="85">
        <v>0.057</v>
      </c>
      <c r="F98" s="39">
        <f t="shared" si="9"/>
        <v>0.057</v>
      </c>
      <c r="G98" s="64">
        <v>0</v>
      </c>
      <c r="H98" s="33">
        <f t="shared" si="7"/>
        <v>0</v>
      </c>
      <c r="I98" s="34">
        <f>ROUNDUP(F98*H98,0)</f>
        <v>0</v>
      </c>
      <c r="J98" s="35"/>
      <c r="K98" s="36"/>
      <c r="M98" s="68"/>
      <c r="N98" s="45"/>
      <c r="Q98" s="5"/>
      <c r="R98" s="5"/>
      <c r="S98" s="5"/>
      <c r="T98" s="5"/>
    </row>
    <row r="99" spans="1:20" s="17" customFormat="1" ht="22.5" customHeight="1" thickBot="1">
      <c r="A99" s="18">
        <f t="shared" si="10"/>
        <v>79</v>
      </c>
      <c r="B99" s="28" t="s">
        <v>313</v>
      </c>
      <c r="C99" s="29" t="s">
        <v>314</v>
      </c>
      <c r="D99" s="30" t="s">
        <v>79</v>
      </c>
      <c r="E99" s="85">
        <v>4.532</v>
      </c>
      <c r="F99" s="39">
        <f t="shared" si="9"/>
        <v>4.532</v>
      </c>
      <c r="G99" s="64">
        <v>4742.97</v>
      </c>
      <c r="H99" s="33">
        <f t="shared" si="7"/>
        <v>4886</v>
      </c>
      <c r="I99" s="34">
        <f t="shared" si="8"/>
        <v>22144</v>
      </c>
      <c r="J99" s="35"/>
      <c r="K99" s="36"/>
      <c r="M99" s="68"/>
      <c r="N99" s="45"/>
      <c r="O99" s="5"/>
      <c r="P99" s="5"/>
      <c r="Q99" s="5"/>
      <c r="R99" s="5"/>
      <c r="S99" s="5"/>
      <c r="T99" s="5"/>
    </row>
    <row r="100" spans="1:16" ht="23.25" customHeight="1" thickBot="1" thickTop="1">
      <c r="A100" s="59"/>
      <c r="B100" s="60"/>
      <c r="C100" s="60"/>
      <c r="D100" s="60"/>
      <c r="E100" s="60"/>
      <c r="F100" s="101"/>
      <c r="G100" s="60"/>
      <c r="H100" s="62" t="s">
        <v>151</v>
      </c>
      <c r="I100" s="61">
        <f>SUM(I85:I99)</f>
        <v>214681</v>
      </c>
      <c r="J100" s="15"/>
      <c r="K100" s="15"/>
      <c r="M100" s="41"/>
      <c r="N100" s="45"/>
      <c r="O100" s="17"/>
      <c r="P100" s="11"/>
    </row>
    <row r="101" spans="1:16" ht="23.25" customHeight="1" thickBot="1" thickTop="1">
      <c r="A101" s="342" t="s">
        <v>152</v>
      </c>
      <c r="B101" s="343"/>
      <c r="C101" s="343"/>
      <c r="D101" s="343"/>
      <c r="E101" s="343"/>
      <c r="F101" s="343"/>
      <c r="G101" s="343"/>
      <c r="H101" s="343"/>
      <c r="I101" s="344"/>
      <c r="J101" s="15"/>
      <c r="K101" s="15"/>
      <c r="M101" s="16"/>
      <c r="N101" s="16"/>
      <c r="O101" s="17"/>
      <c r="P101" s="11"/>
    </row>
    <row r="102" spans="1:16" s="17" customFormat="1" ht="23.25" customHeight="1" thickTop="1">
      <c r="A102" s="18">
        <f>A99+1</f>
        <v>80</v>
      </c>
      <c r="B102" s="19" t="s">
        <v>156</v>
      </c>
      <c r="C102" s="20" t="s">
        <v>157</v>
      </c>
      <c r="D102" s="21" t="s">
        <v>11</v>
      </c>
      <c r="E102" s="22">
        <v>480</v>
      </c>
      <c r="F102" s="39">
        <f>E102</f>
        <v>480</v>
      </c>
      <c r="G102" s="24">
        <v>10</v>
      </c>
      <c r="H102" s="33">
        <f aca="true" t="shared" si="11" ref="H102:H133">_xlfn.CEILING.MATH(G102*(1+$K$9),1)</f>
        <v>11</v>
      </c>
      <c r="I102" s="34">
        <f aca="true" t="shared" si="12" ref="I102:I151">ROUNDUP(F102*H102,0)</f>
        <v>5280</v>
      </c>
      <c r="J102" s="35"/>
      <c r="K102" s="36"/>
      <c r="M102" s="68"/>
      <c r="N102" s="45"/>
      <c r="P102" s="16"/>
    </row>
    <row r="103" spans="1:17" s="17" customFormat="1" ht="23.25" customHeight="1">
      <c r="A103" s="18">
        <f aca="true" t="shared" si="13" ref="A103:A151">A102+1</f>
        <v>81</v>
      </c>
      <c r="B103" s="28" t="s">
        <v>158</v>
      </c>
      <c r="C103" s="29" t="s">
        <v>159</v>
      </c>
      <c r="D103" s="30" t="s">
        <v>11</v>
      </c>
      <c r="E103" s="31">
        <v>14510</v>
      </c>
      <c r="F103" s="39">
        <f aca="true" t="shared" si="14" ref="F103:F151">E103</f>
        <v>14510</v>
      </c>
      <c r="G103" s="33">
        <v>22</v>
      </c>
      <c r="H103" s="33">
        <f t="shared" si="11"/>
        <v>23</v>
      </c>
      <c r="I103" s="34">
        <f t="shared" si="12"/>
        <v>333730</v>
      </c>
      <c r="J103" s="35"/>
      <c r="K103" s="36"/>
      <c r="M103" s="68"/>
      <c r="N103" s="45"/>
      <c r="Q103" s="16"/>
    </row>
    <row r="104" spans="1:18" s="17" customFormat="1" ht="23.25" customHeight="1">
      <c r="A104" s="18">
        <f t="shared" si="13"/>
        <v>82</v>
      </c>
      <c r="B104" s="28" t="s">
        <v>189</v>
      </c>
      <c r="C104" s="29" t="s">
        <v>190</v>
      </c>
      <c r="D104" s="30" t="s">
        <v>191</v>
      </c>
      <c r="E104" s="39">
        <v>4</v>
      </c>
      <c r="F104" s="39">
        <f t="shared" si="14"/>
        <v>4</v>
      </c>
      <c r="G104" s="33">
        <v>6000</v>
      </c>
      <c r="H104" s="33">
        <f t="shared" si="11"/>
        <v>6180</v>
      </c>
      <c r="I104" s="34">
        <f t="shared" si="12"/>
        <v>24720</v>
      </c>
      <c r="J104" s="35"/>
      <c r="K104" s="36"/>
      <c r="M104" s="68"/>
      <c r="N104" s="45"/>
      <c r="O104" s="70"/>
      <c r="Q104" s="63"/>
      <c r="R104" s="71"/>
    </row>
    <row r="105" spans="1:19" s="17" customFormat="1" ht="23.25" customHeight="1">
      <c r="A105" s="18">
        <f t="shared" si="13"/>
        <v>83</v>
      </c>
      <c r="B105" s="28" t="s">
        <v>192</v>
      </c>
      <c r="C105" s="29" t="s">
        <v>193</v>
      </c>
      <c r="D105" s="30" t="s">
        <v>191</v>
      </c>
      <c r="E105" s="39">
        <v>1</v>
      </c>
      <c r="F105" s="39">
        <f t="shared" si="14"/>
        <v>1</v>
      </c>
      <c r="G105" s="33">
        <v>500</v>
      </c>
      <c r="H105" s="33">
        <f t="shared" si="11"/>
        <v>515</v>
      </c>
      <c r="I105" s="34">
        <f t="shared" si="12"/>
        <v>515</v>
      </c>
      <c r="J105" s="35"/>
      <c r="K105" s="36"/>
      <c r="M105" s="68"/>
      <c r="N105" s="45"/>
      <c r="Q105" s="63"/>
      <c r="R105" s="71"/>
      <c r="S105" s="5"/>
    </row>
    <row r="106" spans="1:20" s="17" customFormat="1" ht="23.25" customHeight="1">
      <c r="A106" s="18">
        <f t="shared" si="13"/>
        <v>84</v>
      </c>
      <c r="B106" s="28" t="s">
        <v>194</v>
      </c>
      <c r="C106" s="29" t="s">
        <v>195</v>
      </c>
      <c r="D106" s="30" t="s">
        <v>11</v>
      </c>
      <c r="E106" s="39">
        <v>1080</v>
      </c>
      <c r="F106" s="39">
        <f t="shared" si="14"/>
        <v>1080</v>
      </c>
      <c r="G106" s="33">
        <v>2.6</v>
      </c>
      <c r="H106" s="33">
        <f t="shared" si="11"/>
        <v>3</v>
      </c>
      <c r="I106" s="34">
        <f t="shared" si="12"/>
        <v>3240</v>
      </c>
      <c r="J106" s="35"/>
      <c r="K106" s="36"/>
      <c r="M106" s="68"/>
      <c r="N106" s="45"/>
      <c r="P106" s="5"/>
      <c r="T106" s="5"/>
    </row>
    <row r="107" spans="1:20" s="17" customFormat="1" ht="23.25" customHeight="1">
      <c r="A107" s="18">
        <f t="shared" si="13"/>
        <v>85</v>
      </c>
      <c r="B107" s="28" t="s">
        <v>196</v>
      </c>
      <c r="C107" s="29" t="s">
        <v>197</v>
      </c>
      <c r="D107" s="30" t="s">
        <v>11</v>
      </c>
      <c r="E107" s="39">
        <v>12245</v>
      </c>
      <c r="F107" s="39">
        <f t="shared" si="14"/>
        <v>12245</v>
      </c>
      <c r="G107" s="33">
        <v>3.5</v>
      </c>
      <c r="H107" s="33">
        <f t="shared" si="11"/>
        <v>4</v>
      </c>
      <c r="I107" s="34">
        <f t="shared" si="12"/>
        <v>48980</v>
      </c>
      <c r="J107" s="35"/>
      <c r="K107" s="36"/>
      <c r="M107" s="68"/>
      <c r="N107" s="45"/>
      <c r="P107" s="5"/>
      <c r="Q107" s="72"/>
      <c r="T107" s="5"/>
    </row>
    <row r="108" spans="1:20" s="17" customFormat="1" ht="23.25" customHeight="1">
      <c r="A108" s="18">
        <f t="shared" si="13"/>
        <v>86</v>
      </c>
      <c r="B108" s="28" t="s">
        <v>198</v>
      </c>
      <c r="C108" s="37" t="s">
        <v>199</v>
      </c>
      <c r="D108" s="30" t="s">
        <v>12</v>
      </c>
      <c r="E108" s="39">
        <v>16</v>
      </c>
      <c r="F108" s="39">
        <f t="shared" si="14"/>
        <v>16</v>
      </c>
      <c r="G108" s="33">
        <v>50</v>
      </c>
      <c r="H108" s="33">
        <f t="shared" si="11"/>
        <v>52</v>
      </c>
      <c r="I108" s="34">
        <f t="shared" si="12"/>
        <v>832</v>
      </c>
      <c r="J108" s="35"/>
      <c r="K108" s="36"/>
      <c r="M108" s="68"/>
      <c r="N108" s="45"/>
      <c r="P108" s="5"/>
      <c r="Q108" s="72"/>
      <c r="T108" s="5"/>
    </row>
    <row r="109" spans="1:20" s="17" customFormat="1" ht="23.25" customHeight="1">
      <c r="A109" s="18">
        <f t="shared" si="13"/>
        <v>87</v>
      </c>
      <c r="B109" s="28" t="s">
        <v>200</v>
      </c>
      <c r="C109" s="37" t="s">
        <v>201</v>
      </c>
      <c r="D109" s="30" t="s">
        <v>12</v>
      </c>
      <c r="E109" s="39">
        <v>48</v>
      </c>
      <c r="F109" s="39">
        <f t="shared" si="14"/>
        <v>48</v>
      </c>
      <c r="G109" s="33">
        <v>75</v>
      </c>
      <c r="H109" s="33">
        <f t="shared" si="11"/>
        <v>78</v>
      </c>
      <c r="I109" s="34">
        <f t="shared" si="12"/>
        <v>3744</v>
      </c>
      <c r="J109" s="35"/>
      <c r="K109" s="36"/>
      <c r="M109" s="68"/>
      <c r="N109" s="45"/>
      <c r="P109" s="5"/>
      <c r="Q109" s="72"/>
      <c r="T109" s="5"/>
    </row>
    <row r="110" spans="1:20" s="17" customFormat="1" ht="23.25" customHeight="1">
      <c r="A110" s="18">
        <f t="shared" si="13"/>
        <v>88</v>
      </c>
      <c r="B110" s="28" t="s">
        <v>202</v>
      </c>
      <c r="C110" s="37" t="s">
        <v>203</v>
      </c>
      <c r="D110" s="30" t="s">
        <v>12</v>
      </c>
      <c r="E110" s="39">
        <v>4</v>
      </c>
      <c r="F110" s="39">
        <f t="shared" si="14"/>
        <v>4</v>
      </c>
      <c r="G110" s="33">
        <v>900</v>
      </c>
      <c r="H110" s="33">
        <f t="shared" si="11"/>
        <v>927</v>
      </c>
      <c r="I110" s="34">
        <f t="shared" si="12"/>
        <v>3708</v>
      </c>
      <c r="J110" s="35"/>
      <c r="K110" s="36"/>
      <c r="M110" s="68"/>
      <c r="N110" s="45"/>
      <c r="P110" s="5"/>
      <c r="Q110" s="72"/>
      <c r="T110" s="5"/>
    </row>
    <row r="111" spans="1:20" s="17" customFormat="1" ht="23.25" customHeight="1">
      <c r="A111" s="18">
        <f t="shared" si="13"/>
        <v>89</v>
      </c>
      <c r="B111" s="28" t="s">
        <v>204</v>
      </c>
      <c r="C111" s="37" t="s">
        <v>205</v>
      </c>
      <c r="D111" s="30" t="s">
        <v>12</v>
      </c>
      <c r="E111" s="39">
        <v>4</v>
      </c>
      <c r="F111" s="39">
        <f t="shared" si="14"/>
        <v>4</v>
      </c>
      <c r="G111" s="33">
        <v>250</v>
      </c>
      <c r="H111" s="33">
        <f t="shared" si="11"/>
        <v>258</v>
      </c>
      <c r="I111" s="34">
        <f t="shared" si="12"/>
        <v>1032</v>
      </c>
      <c r="J111" s="35"/>
      <c r="K111" s="36"/>
      <c r="M111" s="68"/>
      <c r="N111" s="45"/>
      <c r="P111" s="5"/>
      <c r="Q111" s="72"/>
      <c r="T111" s="5"/>
    </row>
    <row r="112" spans="1:20" s="17" customFormat="1" ht="23.25" customHeight="1">
      <c r="A112" s="18">
        <f t="shared" si="13"/>
        <v>90</v>
      </c>
      <c r="B112" s="28" t="s">
        <v>206</v>
      </c>
      <c r="C112" s="37" t="s">
        <v>207</v>
      </c>
      <c r="D112" s="30" t="s">
        <v>12</v>
      </c>
      <c r="E112" s="39">
        <v>4</v>
      </c>
      <c r="F112" s="39">
        <f t="shared" si="14"/>
        <v>4</v>
      </c>
      <c r="G112" s="33">
        <v>400</v>
      </c>
      <c r="H112" s="33">
        <f t="shared" si="11"/>
        <v>412</v>
      </c>
      <c r="I112" s="34">
        <f t="shared" si="12"/>
        <v>1648</v>
      </c>
      <c r="J112" s="35"/>
      <c r="K112" s="36"/>
      <c r="M112" s="68"/>
      <c r="N112" s="45"/>
      <c r="P112" s="5"/>
      <c r="Q112" s="72"/>
      <c r="T112" s="5"/>
    </row>
    <row r="113" spans="1:20" s="17" customFormat="1" ht="23.25" customHeight="1">
      <c r="A113" s="18">
        <f t="shared" si="13"/>
        <v>91</v>
      </c>
      <c r="B113" s="28" t="s">
        <v>208</v>
      </c>
      <c r="C113" s="37" t="s">
        <v>209</v>
      </c>
      <c r="D113" s="30" t="s">
        <v>191</v>
      </c>
      <c r="E113" s="39">
        <v>1</v>
      </c>
      <c r="F113" s="39">
        <f t="shared" si="14"/>
        <v>1</v>
      </c>
      <c r="G113" s="33">
        <v>500</v>
      </c>
      <c r="H113" s="33">
        <f t="shared" si="11"/>
        <v>515</v>
      </c>
      <c r="I113" s="34">
        <f t="shared" si="12"/>
        <v>515</v>
      </c>
      <c r="J113" s="35"/>
      <c r="K113" s="36"/>
      <c r="M113" s="68"/>
      <c r="N113" s="45"/>
      <c r="P113" s="5"/>
      <c r="Q113" s="72"/>
      <c r="T113" s="5"/>
    </row>
    <row r="114" spans="1:20" s="17" customFormat="1" ht="23.25" customHeight="1">
      <c r="A114" s="18">
        <f t="shared" si="13"/>
        <v>92</v>
      </c>
      <c r="B114" s="28" t="s">
        <v>160</v>
      </c>
      <c r="C114" s="37" t="s">
        <v>210</v>
      </c>
      <c r="D114" s="30" t="s">
        <v>12</v>
      </c>
      <c r="E114" s="39">
        <v>48</v>
      </c>
      <c r="F114" s="39">
        <f t="shared" si="14"/>
        <v>48</v>
      </c>
      <c r="G114" s="33">
        <v>625</v>
      </c>
      <c r="H114" s="33">
        <f t="shared" si="11"/>
        <v>644</v>
      </c>
      <c r="I114" s="34">
        <f t="shared" si="12"/>
        <v>30912</v>
      </c>
      <c r="J114" s="35"/>
      <c r="K114" s="36"/>
      <c r="M114" s="68"/>
      <c r="N114" s="45"/>
      <c r="P114" s="5"/>
      <c r="Q114" s="72"/>
      <c r="T114" s="5"/>
    </row>
    <row r="115" spans="1:20" s="17" customFormat="1" ht="23.25" customHeight="1">
      <c r="A115" s="18">
        <f t="shared" si="13"/>
        <v>93</v>
      </c>
      <c r="B115" s="28" t="s">
        <v>211</v>
      </c>
      <c r="C115" s="37" t="s">
        <v>212</v>
      </c>
      <c r="D115" s="30" t="s">
        <v>12</v>
      </c>
      <c r="E115" s="39">
        <v>27</v>
      </c>
      <c r="F115" s="39">
        <f t="shared" si="14"/>
        <v>27</v>
      </c>
      <c r="G115" s="33">
        <v>1500</v>
      </c>
      <c r="H115" s="33">
        <f t="shared" si="11"/>
        <v>1545</v>
      </c>
      <c r="I115" s="34">
        <f t="shared" si="12"/>
        <v>41715</v>
      </c>
      <c r="J115" s="35"/>
      <c r="K115" s="36"/>
      <c r="M115" s="68"/>
      <c r="N115" s="45"/>
      <c r="P115" s="5"/>
      <c r="Q115" s="72"/>
      <c r="T115" s="5"/>
    </row>
    <row r="116" spans="1:20" s="17" customFormat="1" ht="23.25" customHeight="1">
      <c r="A116" s="18">
        <f t="shared" si="13"/>
        <v>94</v>
      </c>
      <c r="B116" s="28" t="s">
        <v>213</v>
      </c>
      <c r="C116" s="37" t="s">
        <v>214</v>
      </c>
      <c r="D116" s="30" t="s">
        <v>12</v>
      </c>
      <c r="E116" s="39">
        <v>4</v>
      </c>
      <c r="F116" s="39">
        <f t="shared" si="14"/>
        <v>4</v>
      </c>
      <c r="G116" s="33">
        <v>3500</v>
      </c>
      <c r="H116" s="33">
        <f t="shared" si="11"/>
        <v>3605</v>
      </c>
      <c r="I116" s="34">
        <f t="shared" si="12"/>
        <v>14420</v>
      </c>
      <c r="J116" s="35"/>
      <c r="K116" s="36"/>
      <c r="M116" s="68"/>
      <c r="N116" s="45"/>
      <c r="P116" s="5"/>
      <c r="Q116" s="72"/>
      <c r="T116" s="5"/>
    </row>
    <row r="117" spans="1:20" s="17" customFormat="1" ht="23.25" customHeight="1">
      <c r="A117" s="18">
        <f t="shared" si="13"/>
        <v>95</v>
      </c>
      <c r="B117" s="28" t="s">
        <v>162</v>
      </c>
      <c r="C117" s="37" t="s">
        <v>163</v>
      </c>
      <c r="D117" s="30" t="s">
        <v>34</v>
      </c>
      <c r="E117" s="39">
        <v>3</v>
      </c>
      <c r="F117" s="39">
        <f t="shared" si="14"/>
        <v>3</v>
      </c>
      <c r="G117" s="33">
        <v>2000</v>
      </c>
      <c r="H117" s="33">
        <f t="shared" si="11"/>
        <v>2060</v>
      </c>
      <c r="I117" s="34">
        <f t="shared" si="12"/>
        <v>6180</v>
      </c>
      <c r="J117" s="35"/>
      <c r="K117" s="36"/>
      <c r="M117" s="68"/>
      <c r="N117" s="45"/>
      <c r="P117" s="5"/>
      <c r="Q117" s="72"/>
      <c r="T117" s="5"/>
    </row>
    <row r="118" spans="1:20" s="17" customFormat="1" ht="23.25" customHeight="1">
      <c r="A118" s="18">
        <f t="shared" si="13"/>
        <v>96</v>
      </c>
      <c r="B118" s="28" t="s">
        <v>215</v>
      </c>
      <c r="C118" s="29" t="s">
        <v>216</v>
      </c>
      <c r="D118" s="30" t="s">
        <v>34</v>
      </c>
      <c r="E118" s="39">
        <v>1</v>
      </c>
      <c r="F118" s="39">
        <f t="shared" si="14"/>
        <v>1</v>
      </c>
      <c r="G118" s="33">
        <v>400</v>
      </c>
      <c r="H118" s="33">
        <f t="shared" si="11"/>
        <v>412</v>
      </c>
      <c r="I118" s="34">
        <f t="shared" si="12"/>
        <v>412</v>
      </c>
      <c r="J118" s="35"/>
      <c r="K118" s="36"/>
      <c r="M118" s="68"/>
      <c r="N118" s="45"/>
      <c r="P118" s="5"/>
      <c r="Q118" s="72"/>
      <c r="T118" s="5"/>
    </row>
    <row r="119" spans="1:20" s="17" customFormat="1" ht="23.25" customHeight="1">
      <c r="A119" s="18">
        <f t="shared" si="13"/>
        <v>97</v>
      </c>
      <c r="B119" s="28" t="s">
        <v>217</v>
      </c>
      <c r="C119" s="29" t="s">
        <v>218</v>
      </c>
      <c r="D119" s="30" t="s">
        <v>34</v>
      </c>
      <c r="E119" s="39">
        <v>1</v>
      </c>
      <c r="F119" s="39">
        <f t="shared" si="14"/>
        <v>1</v>
      </c>
      <c r="G119" s="33">
        <v>250</v>
      </c>
      <c r="H119" s="33">
        <f t="shared" si="11"/>
        <v>258</v>
      </c>
      <c r="I119" s="34">
        <f t="shared" si="12"/>
        <v>258</v>
      </c>
      <c r="J119" s="35"/>
      <c r="K119" s="36"/>
      <c r="M119" s="68"/>
      <c r="N119" s="45"/>
      <c r="P119" s="5"/>
      <c r="Q119" s="72"/>
      <c r="T119" s="5"/>
    </row>
    <row r="120" spans="1:20" s="17" customFormat="1" ht="23.25" customHeight="1">
      <c r="A120" s="18">
        <f t="shared" si="13"/>
        <v>98</v>
      </c>
      <c r="B120" s="28" t="s">
        <v>219</v>
      </c>
      <c r="C120" s="29" t="s">
        <v>220</v>
      </c>
      <c r="D120" s="30" t="s">
        <v>11</v>
      </c>
      <c r="E120" s="39">
        <v>150</v>
      </c>
      <c r="F120" s="39">
        <f t="shared" si="14"/>
        <v>150</v>
      </c>
      <c r="G120" s="33">
        <v>6</v>
      </c>
      <c r="H120" s="33">
        <f t="shared" si="11"/>
        <v>7</v>
      </c>
      <c r="I120" s="34">
        <f t="shared" si="12"/>
        <v>1050</v>
      </c>
      <c r="J120" s="35"/>
      <c r="K120" s="36"/>
      <c r="M120" s="68"/>
      <c r="N120" s="45"/>
      <c r="P120" s="5"/>
      <c r="Q120" s="72"/>
      <c r="T120" s="5"/>
    </row>
    <row r="121" spans="1:20" s="17" customFormat="1" ht="23.25" customHeight="1">
      <c r="A121" s="18">
        <f t="shared" si="13"/>
        <v>99</v>
      </c>
      <c r="B121" s="28" t="s">
        <v>221</v>
      </c>
      <c r="C121" s="29" t="s">
        <v>222</v>
      </c>
      <c r="D121" s="30" t="s">
        <v>12</v>
      </c>
      <c r="E121" s="39">
        <v>3</v>
      </c>
      <c r="F121" s="39">
        <f t="shared" si="14"/>
        <v>3</v>
      </c>
      <c r="G121" s="33">
        <v>1400</v>
      </c>
      <c r="H121" s="33">
        <f t="shared" si="11"/>
        <v>1442</v>
      </c>
      <c r="I121" s="34">
        <f t="shared" si="12"/>
        <v>4326</v>
      </c>
      <c r="J121" s="35"/>
      <c r="K121" s="36"/>
      <c r="M121" s="68"/>
      <c r="N121" s="45"/>
      <c r="P121" s="5"/>
      <c r="Q121" s="72"/>
      <c r="T121" s="5"/>
    </row>
    <row r="122" spans="1:20" s="17" customFormat="1" ht="23.25" customHeight="1">
      <c r="A122" s="18">
        <f t="shared" si="13"/>
        <v>100</v>
      </c>
      <c r="B122" s="28" t="s">
        <v>223</v>
      </c>
      <c r="C122" s="37" t="s">
        <v>224</v>
      </c>
      <c r="D122" s="30" t="s">
        <v>12</v>
      </c>
      <c r="E122" s="39">
        <v>2</v>
      </c>
      <c r="F122" s="39">
        <f t="shared" si="14"/>
        <v>2</v>
      </c>
      <c r="G122" s="33">
        <v>5000</v>
      </c>
      <c r="H122" s="33">
        <f t="shared" si="11"/>
        <v>5150</v>
      </c>
      <c r="I122" s="34">
        <f t="shared" si="12"/>
        <v>10300</v>
      </c>
      <c r="J122" s="35"/>
      <c r="K122" s="36"/>
      <c r="M122" s="68"/>
      <c r="N122" s="45"/>
      <c r="P122" s="5"/>
      <c r="Q122" s="72"/>
      <c r="T122" s="5"/>
    </row>
    <row r="123" spans="1:20" s="17" customFormat="1" ht="23.25" customHeight="1">
      <c r="A123" s="18">
        <f t="shared" si="13"/>
        <v>101</v>
      </c>
      <c r="B123" s="28" t="s">
        <v>225</v>
      </c>
      <c r="C123" s="37" t="s">
        <v>226</v>
      </c>
      <c r="D123" s="30" t="s">
        <v>12</v>
      </c>
      <c r="E123" s="39">
        <v>1</v>
      </c>
      <c r="F123" s="39">
        <f t="shared" si="14"/>
        <v>1</v>
      </c>
      <c r="G123" s="33">
        <v>400</v>
      </c>
      <c r="H123" s="33">
        <f t="shared" si="11"/>
        <v>412</v>
      </c>
      <c r="I123" s="34">
        <f t="shared" si="12"/>
        <v>412</v>
      </c>
      <c r="J123" s="35"/>
      <c r="K123" s="36"/>
      <c r="M123" s="68"/>
      <c r="N123" s="45"/>
      <c r="P123" s="5"/>
      <c r="Q123" s="72"/>
      <c r="T123" s="5"/>
    </row>
    <row r="124" spans="1:20" s="17" customFormat="1" ht="23.25" customHeight="1">
      <c r="A124" s="18">
        <f t="shared" si="13"/>
        <v>102</v>
      </c>
      <c r="B124" s="28" t="s">
        <v>227</v>
      </c>
      <c r="C124" s="37" t="s">
        <v>228</v>
      </c>
      <c r="D124" s="30" t="s">
        <v>12</v>
      </c>
      <c r="E124" s="38">
        <v>2</v>
      </c>
      <c r="F124" s="39">
        <f t="shared" si="14"/>
        <v>2</v>
      </c>
      <c r="G124" s="33">
        <v>5000</v>
      </c>
      <c r="H124" s="33">
        <f t="shared" si="11"/>
        <v>5150</v>
      </c>
      <c r="I124" s="34">
        <f t="shared" si="12"/>
        <v>10300</v>
      </c>
      <c r="J124" s="35"/>
      <c r="K124" s="36"/>
      <c r="M124" s="68"/>
      <c r="N124" s="45"/>
      <c r="P124" s="5"/>
      <c r="Q124" s="72"/>
      <c r="T124" s="5"/>
    </row>
    <row r="125" spans="1:20" s="17" customFormat="1" ht="23.25" customHeight="1">
      <c r="A125" s="18">
        <f t="shared" si="13"/>
        <v>103</v>
      </c>
      <c r="B125" s="28" t="s">
        <v>229</v>
      </c>
      <c r="C125" s="37" t="s">
        <v>230</v>
      </c>
      <c r="D125" s="30" t="s">
        <v>12</v>
      </c>
      <c r="E125" s="38">
        <v>30</v>
      </c>
      <c r="F125" s="39">
        <f t="shared" si="14"/>
        <v>30</v>
      </c>
      <c r="G125" s="33">
        <v>1500</v>
      </c>
      <c r="H125" s="33">
        <f t="shared" si="11"/>
        <v>1545</v>
      </c>
      <c r="I125" s="34">
        <f t="shared" si="12"/>
        <v>46350</v>
      </c>
      <c r="J125" s="35"/>
      <c r="K125" s="36"/>
      <c r="M125" s="68"/>
      <c r="N125" s="45"/>
      <c r="P125" s="5"/>
      <c r="Q125" s="72"/>
      <c r="T125" s="5"/>
    </row>
    <row r="126" spans="1:20" s="17" customFormat="1" ht="23.25" customHeight="1">
      <c r="A126" s="18">
        <f t="shared" si="13"/>
        <v>104</v>
      </c>
      <c r="B126" s="28" t="s">
        <v>231</v>
      </c>
      <c r="C126" s="37" t="s">
        <v>232</v>
      </c>
      <c r="D126" s="30" t="s">
        <v>12</v>
      </c>
      <c r="E126" s="38">
        <v>4</v>
      </c>
      <c r="F126" s="39">
        <f t="shared" si="14"/>
        <v>4</v>
      </c>
      <c r="G126" s="33">
        <v>250</v>
      </c>
      <c r="H126" s="33">
        <f t="shared" si="11"/>
        <v>258</v>
      </c>
      <c r="I126" s="34">
        <f t="shared" si="12"/>
        <v>1032</v>
      </c>
      <c r="J126" s="35"/>
      <c r="K126" s="36"/>
      <c r="M126" s="68"/>
      <c r="N126" s="45"/>
      <c r="P126" s="5"/>
      <c r="Q126" s="72"/>
      <c r="T126" s="5"/>
    </row>
    <row r="127" spans="1:20" s="17" customFormat="1" ht="23.25" customHeight="1">
      <c r="A127" s="18">
        <f t="shared" si="13"/>
        <v>105</v>
      </c>
      <c r="B127" s="28" t="s">
        <v>233</v>
      </c>
      <c r="C127" s="37" t="s">
        <v>234</v>
      </c>
      <c r="D127" s="30" t="s">
        <v>12</v>
      </c>
      <c r="E127" s="38">
        <v>2</v>
      </c>
      <c r="F127" s="39">
        <f t="shared" si="14"/>
        <v>2</v>
      </c>
      <c r="G127" s="33">
        <v>50000</v>
      </c>
      <c r="H127" s="33">
        <f t="shared" si="11"/>
        <v>51500</v>
      </c>
      <c r="I127" s="34">
        <f t="shared" si="12"/>
        <v>103000</v>
      </c>
      <c r="J127" s="35"/>
      <c r="K127" s="36"/>
      <c r="M127" s="68"/>
      <c r="N127" s="45"/>
      <c r="P127" s="5"/>
      <c r="Q127" s="72"/>
      <c r="T127" s="5"/>
    </row>
    <row r="128" spans="1:20" s="17" customFormat="1" ht="23.25" customHeight="1">
      <c r="A128" s="18">
        <f t="shared" si="13"/>
        <v>106</v>
      </c>
      <c r="B128" s="28" t="s">
        <v>235</v>
      </c>
      <c r="C128" s="37" t="s">
        <v>236</v>
      </c>
      <c r="D128" s="30" t="s">
        <v>12</v>
      </c>
      <c r="E128" s="39">
        <v>3</v>
      </c>
      <c r="F128" s="39">
        <f t="shared" si="14"/>
        <v>3</v>
      </c>
      <c r="G128" s="33">
        <v>54000</v>
      </c>
      <c r="H128" s="33">
        <f t="shared" si="11"/>
        <v>55620</v>
      </c>
      <c r="I128" s="34">
        <f t="shared" si="12"/>
        <v>166860</v>
      </c>
      <c r="J128" s="35"/>
      <c r="K128" s="36"/>
      <c r="M128" s="68"/>
      <c r="N128" s="45"/>
      <c r="P128" s="5"/>
      <c r="Q128" s="72"/>
      <c r="T128" s="5"/>
    </row>
    <row r="129" spans="1:20" s="17" customFormat="1" ht="23.25" customHeight="1">
      <c r="A129" s="18">
        <f t="shared" si="13"/>
        <v>107</v>
      </c>
      <c r="B129" s="28" t="s">
        <v>237</v>
      </c>
      <c r="C129" s="37" t="s">
        <v>238</v>
      </c>
      <c r="D129" s="30" t="s">
        <v>12</v>
      </c>
      <c r="E129" s="39">
        <v>6</v>
      </c>
      <c r="F129" s="39">
        <f t="shared" si="14"/>
        <v>6</v>
      </c>
      <c r="G129" s="33">
        <v>55000</v>
      </c>
      <c r="H129" s="33">
        <f t="shared" si="11"/>
        <v>56650</v>
      </c>
      <c r="I129" s="34">
        <f t="shared" si="12"/>
        <v>339900</v>
      </c>
      <c r="J129" s="35"/>
      <c r="K129" s="36"/>
      <c r="M129" s="68"/>
      <c r="N129" s="45"/>
      <c r="P129" s="5"/>
      <c r="Q129" s="72"/>
      <c r="T129" s="5"/>
    </row>
    <row r="130" spans="1:20" s="17" customFormat="1" ht="23.25" customHeight="1">
      <c r="A130" s="18">
        <f t="shared" si="13"/>
        <v>108</v>
      </c>
      <c r="B130" s="28" t="s">
        <v>239</v>
      </c>
      <c r="C130" s="29" t="s">
        <v>240</v>
      </c>
      <c r="D130" s="30" t="s">
        <v>34</v>
      </c>
      <c r="E130" s="39">
        <v>34</v>
      </c>
      <c r="F130" s="39">
        <f t="shared" si="14"/>
        <v>34</v>
      </c>
      <c r="G130" s="33">
        <v>1000</v>
      </c>
      <c r="H130" s="33">
        <f t="shared" si="11"/>
        <v>1030</v>
      </c>
      <c r="I130" s="34">
        <f t="shared" si="12"/>
        <v>35020</v>
      </c>
      <c r="J130" s="35"/>
      <c r="K130" s="36"/>
      <c r="M130" s="68"/>
      <c r="N130" s="45"/>
      <c r="P130" s="5"/>
      <c r="Q130" s="72"/>
      <c r="T130" s="5"/>
    </row>
    <row r="131" spans="1:20" s="17" customFormat="1" ht="23.25" customHeight="1">
      <c r="A131" s="18">
        <f t="shared" si="13"/>
        <v>109</v>
      </c>
      <c r="B131" s="28" t="s">
        <v>241</v>
      </c>
      <c r="C131" s="29" t="s">
        <v>242</v>
      </c>
      <c r="D131" s="30" t="s">
        <v>34</v>
      </c>
      <c r="E131" s="39">
        <v>5</v>
      </c>
      <c r="F131" s="39">
        <f t="shared" si="14"/>
        <v>5</v>
      </c>
      <c r="G131" s="33">
        <v>1100</v>
      </c>
      <c r="H131" s="33">
        <f t="shared" si="11"/>
        <v>1133</v>
      </c>
      <c r="I131" s="34">
        <f t="shared" si="12"/>
        <v>5665</v>
      </c>
      <c r="J131" s="35"/>
      <c r="K131" s="36"/>
      <c r="M131" s="68"/>
      <c r="N131" s="45"/>
      <c r="P131" s="5"/>
      <c r="Q131" s="72"/>
      <c r="T131" s="5"/>
    </row>
    <row r="132" spans="1:20" s="17" customFormat="1" ht="23.25" customHeight="1">
      <c r="A132" s="18">
        <f t="shared" si="13"/>
        <v>110</v>
      </c>
      <c r="B132" s="28" t="s">
        <v>243</v>
      </c>
      <c r="C132" s="37" t="s">
        <v>244</v>
      </c>
      <c r="D132" s="30" t="s">
        <v>34</v>
      </c>
      <c r="E132" s="39">
        <v>5</v>
      </c>
      <c r="F132" s="39">
        <f t="shared" si="14"/>
        <v>5</v>
      </c>
      <c r="G132" s="33">
        <v>200</v>
      </c>
      <c r="H132" s="33">
        <f t="shared" si="11"/>
        <v>206</v>
      </c>
      <c r="I132" s="34">
        <f t="shared" si="12"/>
        <v>1030</v>
      </c>
      <c r="J132" s="35"/>
      <c r="K132" s="36"/>
      <c r="M132" s="68"/>
      <c r="N132" s="45"/>
      <c r="P132" s="5"/>
      <c r="Q132" s="72"/>
      <c r="T132" s="5"/>
    </row>
    <row r="133" spans="1:20" s="17" customFormat="1" ht="23.25" customHeight="1">
      <c r="A133" s="18">
        <f t="shared" si="13"/>
        <v>111</v>
      </c>
      <c r="B133" s="28" t="s">
        <v>245</v>
      </c>
      <c r="C133" s="37" t="s">
        <v>246</v>
      </c>
      <c r="D133" s="30" t="s">
        <v>34</v>
      </c>
      <c r="E133" s="39">
        <v>30</v>
      </c>
      <c r="F133" s="39">
        <f t="shared" si="14"/>
        <v>30</v>
      </c>
      <c r="G133" s="33">
        <v>650</v>
      </c>
      <c r="H133" s="33">
        <f t="shared" si="11"/>
        <v>670</v>
      </c>
      <c r="I133" s="34">
        <f t="shared" si="12"/>
        <v>20100</v>
      </c>
      <c r="J133" s="35"/>
      <c r="K133" s="36"/>
      <c r="M133" s="68"/>
      <c r="N133" s="45"/>
      <c r="P133" s="5"/>
      <c r="Q133" s="72"/>
      <c r="T133" s="5"/>
    </row>
    <row r="134" spans="1:20" s="17" customFormat="1" ht="23.25" customHeight="1">
      <c r="A134" s="18">
        <f t="shared" si="13"/>
        <v>112</v>
      </c>
      <c r="B134" s="28" t="s">
        <v>247</v>
      </c>
      <c r="C134" s="29" t="s">
        <v>248</v>
      </c>
      <c r="D134" s="30" t="s">
        <v>12</v>
      </c>
      <c r="E134" s="39">
        <v>3</v>
      </c>
      <c r="F134" s="39">
        <f t="shared" si="14"/>
        <v>3</v>
      </c>
      <c r="G134" s="33">
        <v>4000</v>
      </c>
      <c r="H134" s="33">
        <f aca="true" t="shared" si="15" ref="H134:H151">_xlfn.CEILING.MATH(G134*(1+$K$9),1)</f>
        <v>4120</v>
      </c>
      <c r="I134" s="34">
        <f t="shared" si="12"/>
        <v>12360</v>
      </c>
      <c r="J134" s="35"/>
      <c r="K134" s="36"/>
      <c r="M134" s="68"/>
      <c r="N134" s="45"/>
      <c r="P134" s="5"/>
      <c r="Q134" s="72"/>
      <c r="T134" s="5"/>
    </row>
    <row r="135" spans="1:20" s="17" customFormat="1" ht="23.25" customHeight="1">
      <c r="A135" s="18">
        <f t="shared" si="13"/>
        <v>113</v>
      </c>
      <c r="B135" s="28" t="s">
        <v>249</v>
      </c>
      <c r="C135" s="29" t="s">
        <v>250</v>
      </c>
      <c r="D135" s="30" t="s">
        <v>12</v>
      </c>
      <c r="E135" s="39">
        <v>7</v>
      </c>
      <c r="F135" s="39">
        <f t="shared" si="14"/>
        <v>7</v>
      </c>
      <c r="G135" s="33">
        <v>8000</v>
      </c>
      <c r="H135" s="33">
        <f t="shared" si="15"/>
        <v>8240</v>
      </c>
      <c r="I135" s="34">
        <f t="shared" si="12"/>
        <v>57680</v>
      </c>
      <c r="J135" s="35"/>
      <c r="K135" s="36"/>
      <c r="M135" s="68"/>
      <c r="N135" s="45"/>
      <c r="P135" s="5"/>
      <c r="Q135" s="72"/>
      <c r="T135" s="5"/>
    </row>
    <row r="136" spans="1:20" s="17" customFormat="1" ht="23.25" customHeight="1">
      <c r="A136" s="18">
        <f t="shared" si="13"/>
        <v>114</v>
      </c>
      <c r="B136" s="28" t="s">
        <v>251</v>
      </c>
      <c r="C136" s="37" t="s">
        <v>252</v>
      </c>
      <c r="D136" s="30" t="s">
        <v>12</v>
      </c>
      <c r="E136" s="39">
        <v>3</v>
      </c>
      <c r="F136" s="39">
        <f t="shared" si="14"/>
        <v>3</v>
      </c>
      <c r="G136" s="33">
        <v>6500</v>
      </c>
      <c r="H136" s="33">
        <f t="shared" si="15"/>
        <v>6695</v>
      </c>
      <c r="I136" s="34">
        <f t="shared" si="12"/>
        <v>20085</v>
      </c>
      <c r="J136" s="35"/>
      <c r="K136" s="36"/>
      <c r="M136" s="68"/>
      <c r="N136" s="45"/>
      <c r="P136" s="5"/>
      <c r="Q136" s="72"/>
      <c r="T136" s="5"/>
    </row>
    <row r="137" spans="1:20" s="17" customFormat="1" ht="23.25" customHeight="1">
      <c r="A137" s="18">
        <f t="shared" si="13"/>
        <v>115</v>
      </c>
      <c r="B137" s="28" t="s">
        <v>253</v>
      </c>
      <c r="C137" s="29" t="s">
        <v>254</v>
      </c>
      <c r="D137" s="30" t="s">
        <v>12</v>
      </c>
      <c r="E137" s="39">
        <v>11</v>
      </c>
      <c r="F137" s="39">
        <f t="shared" si="14"/>
        <v>11</v>
      </c>
      <c r="G137" s="33">
        <v>4000</v>
      </c>
      <c r="H137" s="33">
        <f t="shared" si="15"/>
        <v>4120</v>
      </c>
      <c r="I137" s="34">
        <f t="shared" si="12"/>
        <v>45320</v>
      </c>
      <c r="J137" s="35"/>
      <c r="K137" s="36"/>
      <c r="M137" s="68"/>
      <c r="N137" s="45"/>
      <c r="P137" s="5"/>
      <c r="Q137" s="72"/>
      <c r="T137" s="5"/>
    </row>
    <row r="138" spans="1:20" s="17" customFormat="1" ht="23.25" customHeight="1">
      <c r="A138" s="18">
        <f t="shared" si="13"/>
        <v>116</v>
      </c>
      <c r="B138" s="28" t="s">
        <v>255</v>
      </c>
      <c r="C138" s="29" t="s">
        <v>256</v>
      </c>
      <c r="D138" s="30" t="s">
        <v>12</v>
      </c>
      <c r="E138" s="39">
        <v>1</v>
      </c>
      <c r="F138" s="39">
        <f t="shared" si="14"/>
        <v>1</v>
      </c>
      <c r="G138" s="33">
        <v>400</v>
      </c>
      <c r="H138" s="33">
        <f t="shared" si="15"/>
        <v>412</v>
      </c>
      <c r="I138" s="34">
        <f t="shared" si="12"/>
        <v>412</v>
      </c>
      <c r="J138" s="35"/>
      <c r="K138" s="36"/>
      <c r="M138" s="68"/>
      <c r="N138" s="45"/>
      <c r="P138" s="5"/>
      <c r="Q138" s="72"/>
      <c r="T138" s="5"/>
    </row>
    <row r="139" spans="1:20" s="17" customFormat="1" ht="23.25" customHeight="1">
      <c r="A139" s="18">
        <f t="shared" si="13"/>
        <v>117</v>
      </c>
      <c r="B139" s="28" t="s">
        <v>257</v>
      </c>
      <c r="C139" s="29" t="s">
        <v>258</v>
      </c>
      <c r="D139" s="30" t="s">
        <v>12</v>
      </c>
      <c r="E139" s="39">
        <v>1</v>
      </c>
      <c r="F139" s="39">
        <f t="shared" si="14"/>
        <v>1</v>
      </c>
      <c r="G139" s="33">
        <v>5200</v>
      </c>
      <c r="H139" s="33">
        <f t="shared" si="15"/>
        <v>5356</v>
      </c>
      <c r="I139" s="34">
        <f t="shared" si="12"/>
        <v>5356</v>
      </c>
      <c r="J139" s="35"/>
      <c r="K139" s="36"/>
      <c r="M139" s="68"/>
      <c r="N139" s="45"/>
      <c r="P139" s="5"/>
      <c r="Q139" s="72"/>
      <c r="T139" s="5"/>
    </row>
    <row r="140" spans="1:20" s="17" customFormat="1" ht="23.25" customHeight="1">
      <c r="A140" s="18">
        <f t="shared" si="13"/>
        <v>118</v>
      </c>
      <c r="B140" s="28" t="s">
        <v>259</v>
      </c>
      <c r="C140" s="29" t="s">
        <v>260</v>
      </c>
      <c r="D140" s="30" t="s">
        <v>12</v>
      </c>
      <c r="E140" s="39">
        <v>1</v>
      </c>
      <c r="F140" s="39">
        <f t="shared" si="14"/>
        <v>1</v>
      </c>
      <c r="G140" s="33">
        <v>1500</v>
      </c>
      <c r="H140" s="33">
        <f t="shared" si="15"/>
        <v>1545</v>
      </c>
      <c r="I140" s="34">
        <f t="shared" si="12"/>
        <v>1545</v>
      </c>
      <c r="J140" s="35"/>
      <c r="K140" s="36"/>
      <c r="M140" s="68"/>
      <c r="N140" s="45"/>
      <c r="P140" s="5"/>
      <c r="Q140" s="72"/>
      <c r="T140" s="5"/>
    </row>
    <row r="141" spans="1:20" s="17" customFormat="1" ht="23.25" customHeight="1">
      <c r="A141" s="18">
        <f t="shared" si="13"/>
        <v>119</v>
      </c>
      <c r="B141" s="28" t="s">
        <v>261</v>
      </c>
      <c r="C141" s="29" t="s">
        <v>262</v>
      </c>
      <c r="D141" s="30" t="s">
        <v>12</v>
      </c>
      <c r="E141" s="39">
        <v>30</v>
      </c>
      <c r="F141" s="39">
        <f t="shared" si="14"/>
        <v>30</v>
      </c>
      <c r="G141" s="33">
        <v>250</v>
      </c>
      <c r="H141" s="33">
        <f t="shared" si="15"/>
        <v>258</v>
      </c>
      <c r="I141" s="34">
        <f t="shared" si="12"/>
        <v>7740</v>
      </c>
      <c r="J141" s="35"/>
      <c r="K141" s="36"/>
      <c r="M141" s="68"/>
      <c r="N141" s="45"/>
      <c r="P141" s="67"/>
      <c r="T141" s="5"/>
    </row>
    <row r="142" spans="1:20" s="17" customFormat="1" ht="23.25" customHeight="1">
      <c r="A142" s="18">
        <f t="shared" si="13"/>
        <v>120</v>
      </c>
      <c r="B142" s="28" t="s">
        <v>263</v>
      </c>
      <c r="C142" s="29" t="s">
        <v>264</v>
      </c>
      <c r="D142" s="30" t="s">
        <v>34</v>
      </c>
      <c r="E142" s="39">
        <v>2</v>
      </c>
      <c r="F142" s="39">
        <f t="shared" si="14"/>
        <v>2</v>
      </c>
      <c r="G142" s="33">
        <v>35000</v>
      </c>
      <c r="H142" s="33">
        <f t="shared" si="15"/>
        <v>36050</v>
      </c>
      <c r="I142" s="34">
        <f t="shared" si="12"/>
        <v>72100</v>
      </c>
      <c r="J142" s="35"/>
      <c r="K142" s="36"/>
      <c r="M142" s="68"/>
      <c r="N142" s="45"/>
      <c r="P142" s="5"/>
      <c r="T142" s="5"/>
    </row>
    <row r="143" spans="1:20" s="17" customFormat="1" ht="23.25" customHeight="1">
      <c r="A143" s="18">
        <f t="shared" si="13"/>
        <v>121</v>
      </c>
      <c r="B143" s="28" t="s">
        <v>265</v>
      </c>
      <c r="C143" s="29" t="s">
        <v>266</v>
      </c>
      <c r="D143" s="30" t="s">
        <v>34</v>
      </c>
      <c r="E143" s="39">
        <v>1</v>
      </c>
      <c r="F143" s="39">
        <f t="shared" si="14"/>
        <v>1</v>
      </c>
      <c r="G143" s="33">
        <v>35000</v>
      </c>
      <c r="H143" s="33">
        <f t="shared" si="15"/>
        <v>36050</v>
      </c>
      <c r="I143" s="34">
        <f t="shared" si="12"/>
        <v>36050</v>
      </c>
      <c r="J143" s="35"/>
      <c r="K143" s="36"/>
      <c r="M143" s="68"/>
      <c r="N143" s="45"/>
      <c r="P143" s="5"/>
      <c r="Q143" s="5"/>
      <c r="R143" s="5"/>
      <c r="S143" s="5"/>
      <c r="T143" s="5"/>
    </row>
    <row r="144" spans="1:20" s="17" customFormat="1" ht="23.25" customHeight="1">
      <c r="A144" s="18">
        <f t="shared" si="13"/>
        <v>122</v>
      </c>
      <c r="B144" s="28" t="s">
        <v>267</v>
      </c>
      <c r="C144" s="29" t="s">
        <v>268</v>
      </c>
      <c r="D144" s="30" t="s">
        <v>34</v>
      </c>
      <c r="E144" s="39">
        <v>1</v>
      </c>
      <c r="F144" s="39">
        <f t="shared" si="14"/>
        <v>1</v>
      </c>
      <c r="G144" s="33">
        <v>2500</v>
      </c>
      <c r="H144" s="33">
        <f t="shared" si="15"/>
        <v>2575</v>
      </c>
      <c r="I144" s="34">
        <f t="shared" si="12"/>
        <v>2575</v>
      </c>
      <c r="J144" s="35"/>
      <c r="K144" s="36"/>
      <c r="M144" s="68"/>
      <c r="N144" s="45"/>
      <c r="O144" s="47"/>
      <c r="P144" s="5"/>
      <c r="Q144" s="5"/>
      <c r="R144" s="5"/>
      <c r="S144" s="5"/>
      <c r="T144" s="5"/>
    </row>
    <row r="145" spans="1:14" s="17" customFormat="1" ht="22.5" customHeight="1">
      <c r="A145" s="18">
        <f t="shared" si="13"/>
        <v>123</v>
      </c>
      <c r="B145" s="28" t="s">
        <v>269</v>
      </c>
      <c r="C145" s="29" t="s">
        <v>270</v>
      </c>
      <c r="D145" s="30" t="s">
        <v>34</v>
      </c>
      <c r="E145" s="39">
        <v>1</v>
      </c>
      <c r="F145" s="39">
        <f t="shared" si="14"/>
        <v>1</v>
      </c>
      <c r="G145" s="33">
        <v>750</v>
      </c>
      <c r="H145" s="33">
        <f t="shared" si="15"/>
        <v>773</v>
      </c>
      <c r="I145" s="34">
        <f t="shared" si="12"/>
        <v>773</v>
      </c>
      <c r="J145" s="35"/>
      <c r="K145" s="36"/>
      <c r="M145" s="68"/>
      <c r="N145" s="45"/>
    </row>
    <row r="146" spans="1:14" s="17" customFormat="1" ht="22.5" customHeight="1">
      <c r="A146" s="18">
        <f t="shared" si="13"/>
        <v>124</v>
      </c>
      <c r="B146" s="28" t="s">
        <v>271</v>
      </c>
      <c r="C146" s="29" t="s">
        <v>272</v>
      </c>
      <c r="D146" s="30" t="s">
        <v>12</v>
      </c>
      <c r="E146" s="39">
        <v>1</v>
      </c>
      <c r="F146" s="39">
        <f t="shared" si="14"/>
        <v>1</v>
      </c>
      <c r="G146" s="33">
        <v>1000</v>
      </c>
      <c r="H146" s="33">
        <f t="shared" si="15"/>
        <v>1030</v>
      </c>
      <c r="I146" s="34">
        <f t="shared" si="12"/>
        <v>1030</v>
      </c>
      <c r="J146" s="35"/>
      <c r="K146" s="36"/>
      <c r="M146" s="68"/>
      <c r="N146" s="45"/>
    </row>
    <row r="147" spans="1:14" s="17" customFormat="1" ht="22.5" customHeight="1">
      <c r="A147" s="18">
        <f t="shared" si="13"/>
        <v>125</v>
      </c>
      <c r="B147" s="28" t="s">
        <v>273</v>
      </c>
      <c r="C147" s="29" t="s">
        <v>274</v>
      </c>
      <c r="D147" s="30" t="s">
        <v>12</v>
      </c>
      <c r="E147" s="39">
        <v>3</v>
      </c>
      <c r="F147" s="39">
        <f t="shared" si="14"/>
        <v>3</v>
      </c>
      <c r="G147" s="33">
        <v>8500</v>
      </c>
      <c r="H147" s="33">
        <f t="shared" si="15"/>
        <v>8755</v>
      </c>
      <c r="I147" s="34">
        <f t="shared" si="12"/>
        <v>26265</v>
      </c>
      <c r="J147" s="35"/>
      <c r="K147" s="36"/>
      <c r="M147" s="68"/>
      <c r="N147" s="45"/>
    </row>
    <row r="148" spans="1:20" s="17" customFormat="1" ht="22.5" customHeight="1">
      <c r="A148" s="18">
        <f t="shared" si="13"/>
        <v>126</v>
      </c>
      <c r="B148" s="28" t="s">
        <v>275</v>
      </c>
      <c r="C148" s="29" t="s">
        <v>276</v>
      </c>
      <c r="D148" s="30" t="s">
        <v>12</v>
      </c>
      <c r="E148" s="39">
        <v>4</v>
      </c>
      <c r="F148" s="39">
        <f t="shared" si="14"/>
        <v>4</v>
      </c>
      <c r="G148" s="33">
        <v>3000</v>
      </c>
      <c r="H148" s="33">
        <f t="shared" si="15"/>
        <v>3090</v>
      </c>
      <c r="I148" s="34">
        <f t="shared" si="12"/>
        <v>12360</v>
      </c>
      <c r="J148" s="35"/>
      <c r="K148" s="36"/>
      <c r="M148" s="68"/>
      <c r="N148" s="45"/>
      <c r="O148" s="5"/>
      <c r="P148" s="5"/>
      <c r="Q148" s="5"/>
      <c r="R148" s="5"/>
      <c r="S148" s="5"/>
      <c r="T148" s="5"/>
    </row>
    <row r="149" spans="1:14" s="17" customFormat="1" ht="22.5" customHeight="1">
      <c r="A149" s="18">
        <f t="shared" si="13"/>
        <v>127</v>
      </c>
      <c r="B149" s="28" t="s">
        <v>277</v>
      </c>
      <c r="C149" s="29" t="s">
        <v>278</v>
      </c>
      <c r="D149" s="30" t="s">
        <v>12</v>
      </c>
      <c r="E149" s="39">
        <v>4</v>
      </c>
      <c r="F149" s="39">
        <f t="shared" si="14"/>
        <v>4</v>
      </c>
      <c r="G149" s="33">
        <v>7500</v>
      </c>
      <c r="H149" s="33">
        <f t="shared" si="15"/>
        <v>7725</v>
      </c>
      <c r="I149" s="34">
        <f t="shared" si="12"/>
        <v>30900</v>
      </c>
      <c r="J149" s="35"/>
      <c r="K149" s="36"/>
      <c r="M149" s="68"/>
      <c r="N149" s="45"/>
    </row>
    <row r="150" spans="1:14" s="17" customFormat="1" ht="22.5" customHeight="1">
      <c r="A150" s="18">
        <f t="shared" si="13"/>
        <v>128</v>
      </c>
      <c r="B150" s="28" t="s">
        <v>279</v>
      </c>
      <c r="C150" s="29" t="s">
        <v>280</v>
      </c>
      <c r="D150" s="30" t="s">
        <v>12</v>
      </c>
      <c r="E150" s="39">
        <v>6</v>
      </c>
      <c r="F150" s="39">
        <f t="shared" si="14"/>
        <v>6</v>
      </c>
      <c r="G150" s="33">
        <v>550</v>
      </c>
      <c r="H150" s="33">
        <f t="shared" si="15"/>
        <v>567</v>
      </c>
      <c r="I150" s="34">
        <f t="shared" si="12"/>
        <v>3402</v>
      </c>
      <c r="J150" s="35"/>
      <c r="K150" s="36"/>
      <c r="M150" s="68"/>
      <c r="N150" s="45"/>
    </row>
    <row r="151" spans="1:14" s="17" customFormat="1" ht="22.5" customHeight="1" thickBot="1">
      <c r="A151" s="18">
        <f t="shared" si="13"/>
        <v>129</v>
      </c>
      <c r="B151" s="28" t="s">
        <v>281</v>
      </c>
      <c r="C151" s="29" t="s">
        <v>282</v>
      </c>
      <c r="D151" s="30" t="s">
        <v>12</v>
      </c>
      <c r="E151" s="39">
        <v>11</v>
      </c>
      <c r="F151" s="39">
        <f t="shared" si="14"/>
        <v>11</v>
      </c>
      <c r="G151" s="33">
        <v>3500</v>
      </c>
      <c r="H151" s="33">
        <f t="shared" si="15"/>
        <v>3605</v>
      </c>
      <c r="I151" s="34">
        <f t="shared" si="12"/>
        <v>39655</v>
      </c>
      <c r="J151" s="35"/>
      <c r="K151" s="36"/>
      <c r="M151" s="68"/>
      <c r="N151" s="45"/>
    </row>
    <row r="152" spans="1:16" ht="23.25" customHeight="1" thickBot="1" thickTop="1">
      <c r="A152" s="59"/>
      <c r="B152" s="60"/>
      <c r="C152" s="60"/>
      <c r="D152" s="60"/>
      <c r="E152" s="60"/>
      <c r="F152" s="101"/>
      <c r="G152" s="60"/>
      <c r="H152" s="62" t="s">
        <v>153</v>
      </c>
      <c r="I152" s="61">
        <f>SUM(I102:I151)</f>
        <v>1642794</v>
      </c>
      <c r="J152" s="15"/>
      <c r="K152" s="15"/>
      <c r="M152" s="41"/>
      <c r="N152" s="45"/>
      <c r="O152" s="17"/>
      <c r="P152" s="11"/>
    </row>
    <row r="153" spans="1:16" ht="23.25" customHeight="1" thickBot="1" thickTop="1">
      <c r="A153" s="342" t="s">
        <v>154</v>
      </c>
      <c r="B153" s="343"/>
      <c r="C153" s="343"/>
      <c r="D153" s="343"/>
      <c r="E153" s="343"/>
      <c r="F153" s="343"/>
      <c r="G153" s="343"/>
      <c r="H153" s="343"/>
      <c r="I153" s="344"/>
      <c r="J153" s="15"/>
      <c r="K153" s="15"/>
      <c r="M153" s="16"/>
      <c r="N153" s="16"/>
      <c r="O153" s="17"/>
      <c r="P153" s="11"/>
    </row>
    <row r="154" spans="1:16" ht="23.25" customHeight="1" thickTop="1">
      <c r="A154" s="18">
        <f>A151+1</f>
        <v>130</v>
      </c>
      <c r="B154" s="28" t="s">
        <v>156</v>
      </c>
      <c r="C154" s="29" t="s">
        <v>157</v>
      </c>
      <c r="D154" s="30" t="s">
        <v>11</v>
      </c>
      <c r="E154" s="39">
        <v>400</v>
      </c>
      <c r="F154" s="99">
        <f>E154</f>
        <v>400</v>
      </c>
      <c r="G154" s="64">
        <v>5.97</v>
      </c>
      <c r="H154" s="33">
        <f aca="true" t="shared" si="16" ref="H154:H165">_xlfn.CEILING.MATH(G154*(1+$K$9),1)</f>
        <v>7</v>
      </c>
      <c r="I154" s="25">
        <f aca="true" t="shared" si="17" ref="I154:I165">ROUNDUP(F154*H154,0)</f>
        <v>2800</v>
      </c>
      <c r="J154" s="26"/>
      <c r="K154" s="27"/>
      <c r="M154" s="69"/>
      <c r="N154" s="45"/>
      <c r="P154" s="11"/>
    </row>
    <row r="155" spans="1:16" s="17" customFormat="1" ht="23.25" customHeight="1">
      <c r="A155" s="18">
        <f>A154+1</f>
        <v>131</v>
      </c>
      <c r="B155" s="28" t="s">
        <v>158</v>
      </c>
      <c r="C155" s="29" t="s">
        <v>159</v>
      </c>
      <c r="D155" s="30" t="s">
        <v>11</v>
      </c>
      <c r="E155" s="39">
        <v>20255</v>
      </c>
      <c r="F155" s="100">
        <f>E155</f>
        <v>20255</v>
      </c>
      <c r="G155" s="64">
        <v>20.3</v>
      </c>
      <c r="H155" s="33">
        <f t="shared" si="16"/>
        <v>21</v>
      </c>
      <c r="I155" s="34">
        <f t="shared" si="17"/>
        <v>425355</v>
      </c>
      <c r="J155" s="35"/>
      <c r="K155" s="36"/>
      <c r="M155" s="68"/>
      <c r="N155" s="45"/>
      <c r="P155" s="16"/>
    </row>
    <row r="156" spans="1:16" s="17" customFormat="1" ht="23.25" customHeight="1">
      <c r="A156" s="18">
        <f aca="true" t="shared" si="18" ref="A156:A165">A155+1</f>
        <v>132</v>
      </c>
      <c r="B156" s="28" t="s">
        <v>160</v>
      </c>
      <c r="C156" s="37" t="s">
        <v>161</v>
      </c>
      <c r="D156" s="30" t="s">
        <v>12</v>
      </c>
      <c r="E156" s="39">
        <v>133</v>
      </c>
      <c r="F156" s="39">
        <f>E156</f>
        <v>133</v>
      </c>
      <c r="G156" s="64">
        <v>619.11</v>
      </c>
      <c r="H156" s="33">
        <f t="shared" si="16"/>
        <v>638</v>
      </c>
      <c r="I156" s="34">
        <f t="shared" si="17"/>
        <v>84854</v>
      </c>
      <c r="J156" s="35"/>
      <c r="K156" s="36"/>
      <c r="M156" s="68"/>
      <c r="N156" s="45"/>
      <c r="P156" s="16"/>
    </row>
    <row r="157" spans="1:17" s="17" customFormat="1" ht="23.25" customHeight="1">
      <c r="A157" s="18">
        <f t="shared" si="18"/>
        <v>133</v>
      </c>
      <c r="B157" s="28" t="s">
        <v>162</v>
      </c>
      <c r="C157" s="37" t="s">
        <v>163</v>
      </c>
      <c r="D157" s="30" t="s">
        <v>34</v>
      </c>
      <c r="E157" s="39">
        <v>2</v>
      </c>
      <c r="F157" s="39">
        <f aca="true" t="shared" si="19" ref="F157:F165">E157</f>
        <v>2</v>
      </c>
      <c r="G157" s="64">
        <v>2185.31</v>
      </c>
      <c r="H157" s="33">
        <f t="shared" si="16"/>
        <v>2251</v>
      </c>
      <c r="I157" s="34">
        <f t="shared" si="17"/>
        <v>4502</v>
      </c>
      <c r="J157" s="35"/>
      <c r="K157" s="36"/>
      <c r="M157" s="68"/>
      <c r="N157" s="45"/>
      <c r="Q157" s="16"/>
    </row>
    <row r="158" spans="1:17" s="17" customFormat="1" ht="23.25" customHeight="1">
      <c r="A158" s="18">
        <f t="shared" si="18"/>
        <v>134</v>
      </c>
      <c r="B158" s="28" t="s">
        <v>219</v>
      </c>
      <c r="C158" s="37" t="s">
        <v>220</v>
      </c>
      <c r="D158" s="30" t="s">
        <v>11</v>
      </c>
      <c r="E158" s="39">
        <v>20</v>
      </c>
      <c r="F158" s="39">
        <f t="shared" si="19"/>
        <v>20</v>
      </c>
      <c r="G158" s="64"/>
      <c r="H158" s="33">
        <f t="shared" si="16"/>
        <v>0</v>
      </c>
      <c r="I158" s="34">
        <f t="shared" si="17"/>
        <v>0</v>
      </c>
      <c r="J158" s="35"/>
      <c r="K158" s="36"/>
      <c r="M158" s="68"/>
      <c r="N158" s="45"/>
      <c r="Q158" s="16"/>
    </row>
    <row r="159" spans="1:17" s="17" customFormat="1" ht="23.25" customHeight="1">
      <c r="A159" s="18">
        <f t="shared" si="18"/>
        <v>135</v>
      </c>
      <c r="B159" s="28" t="s">
        <v>357</v>
      </c>
      <c r="C159" s="37" t="s">
        <v>358</v>
      </c>
      <c r="D159" s="30" t="s">
        <v>12</v>
      </c>
      <c r="E159" s="39">
        <v>2</v>
      </c>
      <c r="F159" s="39">
        <f t="shared" si="19"/>
        <v>2</v>
      </c>
      <c r="G159" s="64"/>
      <c r="H159" s="33">
        <f t="shared" si="16"/>
        <v>0</v>
      </c>
      <c r="I159" s="34">
        <f t="shared" si="17"/>
        <v>0</v>
      </c>
      <c r="J159" s="35"/>
      <c r="K159" s="36"/>
      <c r="M159" s="68"/>
      <c r="N159" s="45"/>
      <c r="Q159" s="16"/>
    </row>
    <row r="160" spans="1:18" s="17" customFormat="1" ht="23.25" customHeight="1">
      <c r="A160" s="18">
        <f t="shared" si="18"/>
        <v>136</v>
      </c>
      <c r="B160" s="28" t="s">
        <v>164</v>
      </c>
      <c r="C160" s="37" t="s">
        <v>165</v>
      </c>
      <c r="D160" s="30" t="s">
        <v>11</v>
      </c>
      <c r="E160" s="39">
        <v>70229</v>
      </c>
      <c r="F160" s="39">
        <f t="shared" si="19"/>
        <v>70229</v>
      </c>
      <c r="G160" s="64">
        <v>1.26</v>
      </c>
      <c r="H160" s="33">
        <f t="shared" si="16"/>
        <v>2</v>
      </c>
      <c r="I160" s="34">
        <f t="shared" si="17"/>
        <v>140458</v>
      </c>
      <c r="J160" s="35"/>
      <c r="K160" s="36"/>
      <c r="M160" s="68"/>
      <c r="N160" s="45"/>
      <c r="O160" s="70"/>
      <c r="Q160" s="63"/>
      <c r="R160" s="71"/>
    </row>
    <row r="161" spans="1:18" s="17" customFormat="1" ht="23.25" customHeight="1">
      <c r="A161" s="18">
        <f t="shared" si="18"/>
        <v>137</v>
      </c>
      <c r="B161" s="28" t="s">
        <v>355</v>
      </c>
      <c r="C161" s="37" t="s">
        <v>356</v>
      </c>
      <c r="D161" s="30" t="s">
        <v>12</v>
      </c>
      <c r="E161" s="39">
        <v>1</v>
      </c>
      <c r="F161" s="39">
        <f t="shared" si="19"/>
        <v>1</v>
      </c>
      <c r="G161" s="64"/>
      <c r="H161" s="33">
        <f t="shared" si="16"/>
        <v>0</v>
      </c>
      <c r="I161" s="34">
        <f t="shared" si="17"/>
        <v>0</v>
      </c>
      <c r="J161" s="35"/>
      <c r="K161" s="36"/>
      <c r="M161" s="68"/>
      <c r="N161" s="45"/>
      <c r="O161" s="70"/>
      <c r="Q161" s="63"/>
      <c r="R161" s="71"/>
    </row>
    <row r="162" spans="1:19" s="17" customFormat="1" ht="23.25" customHeight="1">
      <c r="A162" s="18">
        <f t="shared" si="18"/>
        <v>138</v>
      </c>
      <c r="B162" s="28" t="s">
        <v>166</v>
      </c>
      <c r="C162" s="37" t="s">
        <v>167</v>
      </c>
      <c r="D162" s="30" t="s">
        <v>12</v>
      </c>
      <c r="E162" s="39">
        <v>123</v>
      </c>
      <c r="F162" s="39">
        <f t="shared" si="19"/>
        <v>123</v>
      </c>
      <c r="G162" s="64">
        <v>5052</v>
      </c>
      <c r="H162" s="33">
        <f t="shared" si="16"/>
        <v>5204</v>
      </c>
      <c r="I162" s="34">
        <f t="shared" si="17"/>
        <v>640092</v>
      </c>
      <c r="J162" s="35"/>
      <c r="K162" s="36"/>
      <c r="M162" s="68"/>
      <c r="N162" s="45"/>
      <c r="Q162" s="63"/>
      <c r="R162" s="71"/>
      <c r="S162" s="5"/>
    </row>
    <row r="163" spans="1:20" s="17" customFormat="1" ht="23.25" customHeight="1">
      <c r="A163" s="18">
        <f t="shared" si="18"/>
        <v>139</v>
      </c>
      <c r="B163" s="28" t="s">
        <v>168</v>
      </c>
      <c r="C163" s="37" t="s">
        <v>169</v>
      </c>
      <c r="D163" s="30" t="s">
        <v>12</v>
      </c>
      <c r="E163" s="39">
        <v>2</v>
      </c>
      <c r="F163" s="39">
        <f t="shared" si="19"/>
        <v>2</v>
      </c>
      <c r="G163" s="64">
        <v>11879.01</v>
      </c>
      <c r="H163" s="33">
        <f t="shared" si="16"/>
        <v>12236</v>
      </c>
      <c r="I163" s="34">
        <f t="shared" si="17"/>
        <v>24472</v>
      </c>
      <c r="J163" s="35"/>
      <c r="K163" s="36"/>
      <c r="M163" s="68"/>
      <c r="N163" s="45"/>
      <c r="P163" s="5"/>
      <c r="T163" s="5"/>
    </row>
    <row r="164" spans="1:20" s="17" customFormat="1" ht="23.25" customHeight="1">
      <c r="A164" s="18">
        <f t="shared" si="18"/>
        <v>140</v>
      </c>
      <c r="B164" s="28" t="s">
        <v>170</v>
      </c>
      <c r="C164" s="29" t="s">
        <v>171</v>
      </c>
      <c r="D164" s="30" t="s">
        <v>12</v>
      </c>
      <c r="E164" s="39">
        <v>4</v>
      </c>
      <c r="F164" s="39">
        <f t="shared" si="19"/>
        <v>4</v>
      </c>
      <c r="G164" s="64">
        <v>999.6</v>
      </c>
      <c r="H164" s="33">
        <f t="shared" si="16"/>
        <v>1030</v>
      </c>
      <c r="I164" s="34">
        <f t="shared" si="17"/>
        <v>4120</v>
      </c>
      <c r="J164" s="35"/>
      <c r="K164" s="36"/>
      <c r="M164" s="68"/>
      <c r="N164" s="45"/>
      <c r="P164" s="5"/>
      <c r="Q164" s="72"/>
      <c r="T164" s="5"/>
    </row>
    <row r="165" spans="1:20" s="17" customFormat="1" ht="23.25" customHeight="1" thickBot="1">
      <c r="A165" s="18">
        <f t="shared" si="18"/>
        <v>141</v>
      </c>
      <c r="B165" s="28" t="s">
        <v>172</v>
      </c>
      <c r="C165" s="29" t="s">
        <v>173</v>
      </c>
      <c r="D165" s="30" t="s">
        <v>12</v>
      </c>
      <c r="E165" s="39">
        <v>124</v>
      </c>
      <c r="F165" s="39">
        <f t="shared" si="19"/>
        <v>124</v>
      </c>
      <c r="G165" s="64">
        <v>509.12</v>
      </c>
      <c r="H165" s="33">
        <f t="shared" si="16"/>
        <v>525</v>
      </c>
      <c r="I165" s="34">
        <f t="shared" si="17"/>
        <v>65100</v>
      </c>
      <c r="J165" s="35"/>
      <c r="K165" s="36"/>
      <c r="M165" s="68"/>
      <c r="N165" s="45"/>
      <c r="P165" s="67"/>
      <c r="T165" s="5"/>
    </row>
    <row r="166" spans="1:16" ht="23.25" customHeight="1" thickBot="1" thickTop="1">
      <c r="A166" s="59"/>
      <c r="B166" s="60"/>
      <c r="C166" s="60"/>
      <c r="D166" s="60"/>
      <c r="E166" s="60"/>
      <c r="F166" s="101"/>
      <c r="G166" s="60"/>
      <c r="H166" s="62" t="s">
        <v>153</v>
      </c>
      <c r="I166" s="61">
        <f>SUM(I154:I165)</f>
        <v>1391753</v>
      </c>
      <c r="J166" s="15"/>
      <c r="K166" s="15"/>
      <c r="M166" s="41"/>
      <c r="N166" s="45"/>
      <c r="O166" s="17"/>
      <c r="P166" s="11"/>
    </row>
    <row r="167" spans="1:16" ht="23.25" customHeight="1" thickBot="1" thickTop="1">
      <c r="A167" s="342" t="s">
        <v>359</v>
      </c>
      <c r="B167" s="343"/>
      <c r="C167" s="343"/>
      <c r="D167" s="343"/>
      <c r="E167" s="343"/>
      <c r="F167" s="343"/>
      <c r="G167" s="343"/>
      <c r="H167" s="343"/>
      <c r="I167" s="344"/>
      <c r="J167" s="15"/>
      <c r="K167" s="15"/>
      <c r="M167" s="16"/>
      <c r="N167" s="16"/>
      <c r="O167" s="17"/>
      <c r="P167" s="11"/>
    </row>
    <row r="168" spans="1:16" ht="23.25" customHeight="1" thickTop="1">
      <c r="A168" s="359" t="s">
        <v>360</v>
      </c>
      <c r="B168" s="360"/>
      <c r="C168" s="360"/>
      <c r="D168" s="360"/>
      <c r="E168" s="360"/>
      <c r="F168" s="360"/>
      <c r="G168" s="360"/>
      <c r="H168" s="361"/>
      <c r="I168" s="34">
        <f>ROUNDUP(F168*H168,0)</f>
        <v>0</v>
      </c>
      <c r="J168" s="26"/>
      <c r="K168" s="27"/>
      <c r="M168" s="69"/>
      <c r="N168" s="45"/>
      <c r="P168" s="11"/>
    </row>
    <row r="169" spans="1:16" ht="23.25" customHeight="1">
      <c r="A169" s="362" t="s">
        <v>361</v>
      </c>
      <c r="B169" s="363"/>
      <c r="C169" s="363"/>
      <c r="D169" s="363"/>
      <c r="E169" s="363"/>
      <c r="F169" s="363"/>
      <c r="G169" s="363"/>
      <c r="H169" s="364"/>
      <c r="I169" s="34">
        <f>ROUNDUP(F169*H169,0)</f>
        <v>0</v>
      </c>
      <c r="J169" s="15"/>
      <c r="K169" s="107"/>
      <c r="M169" s="69"/>
      <c r="N169" s="45"/>
      <c r="P169" s="11"/>
    </row>
    <row r="170" spans="1:16" ht="23.25" customHeight="1" thickBot="1">
      <c r="A170" s="365" t="s">
        <v>362</v>
      </c>
      <c r="B170" s="366"/>
      <c r="C170" s="366"/>
      <c r="D170" s="366"/>
      <c r="E170" s="366"/>
      <c r="F170" s="366"/>
      <c r="G170" s="366"/>
      <c r="H170" s="367"/>
      <c r="I170" s="34">
        <f>ROUNDUP(F170*H170,0)</f>
        <v>0</v>
      </c>
      <c r="J170" s="15"/>
      <c r="K170" s="107"/>
      <c r="M170" s="69"/>
      <c r="N170" s="45"/>
      <c r="P170" s="11"/>
    </row>
    <row r="171" spans="1:16" ht="23.25" customHeight="1" thickBot="1" thickTop="1">
      <c r="A171" s="59"/>
      <c r="B171" s="60"/>
      <c r="C171" s="60"/>
      <c r="D171" s="60"/>
      <c r="E171" s="60"/>
      <c r="F171" s="101"/>
      <c r="G171" s="60"/>
      <c r="H171" s="62" t="s">
        <v>363</v>
      </c>
      <c r="I171" s="61">
        <f>SUM(I168:I170)</f>
        <v>0</v>
      </c>
      <c r="J171" s="15"/>
      <c r="K171" s="15"/>
      <c r="M171" s="41"/>
      <c r="N171" s="45" t="s">
        <v>283</v>
      </c>
      <c r="O171" s="17"/>
      <c r="P171" s="11"/>
    </row>
    <row r="172" spans="1:16" ht="23.25" customHeight="1" thickBot="1" thickTop="1">
      <c r="A172" s="354" t="s">
        <v>43</v>
      </c>
      <c r="B172" s="343"/>
      <c r="C172" s="343"/>
      <c r="D172" s="343"/>
      <c r="E172" s="343"/>
      <c r="F172" s="343"/>
      <c r="G172" s="343"/>
      <c r="H172" s="343"/>
      <c r="I172" s="355"/>
      <c r="J172" s="15"/>
      <c r="K172" s="15"/>
      <c r="M172" s="16"/>
      <c r="N172" s="68">
        <f>I171+I166+I100+I152+I83</f>
        <v>19062977</v>
      </c>
      <c r="O172" s="17"/>
      <c r="P172" s="11"/>
    </row>
    <row r="173" spans="1:14" s="17" customFormat="1" ht="22.5" customHeight="1" thickBot="1" thickTop="1">
      <c r="A173" s="18">
        <f>A165+1</f>
        <v>142</v>
      </c>
      <c r="B173" s="42"/>
      <c r="C173" s="37" t="s">
        <v>155</v>
      </c>
      <c r="D173" s="43" t="s">
        <v>9</v>
      </c>
      <c r="E173" s="43">
        <v>1</v>
      </c>
      <c r="F173" s="102">
        <v>1</v>
      </c>
      <c r="G173" s="43"/>
      <c r="H173" s="44">
        <f>_xlfn.CEILING.MATH(0.15*(N172),10)</f>
        <v>2859450</v>
      </c>
      <c r="I173" s="34">
        <f>ROUNDUP(F173*H173,0)</f>
        <v>2859450</v>
      </c>
      <c r="J173" s="35"/>
      <c r="K173" s="36"/>
      <c r="M173" s="45"/>
      <c r="N173" s="45"/>
    </row>
    <row r="174" spans="1:16" ht="23.25" customHeight="1" thickBot="1" thickTop="1">
      <c r="A174" s="59"/>
      <c r="B174" s="60"/>
      <c r="C174" s="60"/>
      <c r="D174" s="60"/>
      <c r="E174" s="60"/>
      <c r="F174" s="101"/>
      <c r="G174" s="60"/>
      <c r="H174" s="62" t="s">
        <v>349</v>
      </c>
      <c r="I174" s="61">
        <f>I83+I100+I152+I171+I173</f>
        <v>20530674</v>
      </c>
      <c r="J174" s="15"/>
      <c r="K174" s="15"/>
      <c r="M174" s="68"/>
      <c r="N174" s="45"/>
      <c r="O174" s="17"/>
      <c r="P174" s="11"/>
    </row>
    <row r="175" spans="1:9" ht="19.5" customHeight="1" thickTop="1">
      <c r="A175" s="2" t="s">
        <v>35</v>
      </c>
      <c r="I175" s="80"/>
    </row>
    <row r="176" ht="19.5" customHeight="1" thickBot="1">
      <c r="I176" s="80"/>
    </row>
    <row r="177" spans="1:9" ht="19.5" customHeight="1" thickTop="1">
      <c r="A177" s="368" t="s">
        <v>145</v>
      </c>
      <c r="B177" s="369"/>
      <c r="C177" s="372" t="s">
        <v>146</v>
      </c>
      <c r="D177" s="373"/>
      <c r="E177" s="373"/>
      <c r="F177" s="373"/>
      <c r="G177" s="373"/>
      <c r="H177" s="374"/>
      <c r="I177" s="81">
        <v>6703000</v>
      </c>
    </row>
    <row r="178" spans="1:9" ht="19.5" customHeight="1">
      <c r="A178" s="370"/>
      <c r="B178" s="371"/>
      <c r="C178" s="375" t="s">
        <v>142</v>
      </c>
      <c r="D178" s="376"/>
      <c r="E178" s="376"/>
      <c r="F178" s="376"/>
      <c r="G178" s="376"/>
      <c r="H178" s="377"/>
      <c r="I178" s="82">
        <v>991400</v>
      </c>
    </row>
    <row r="179" spans="1:9" ht="19.5" customHeight="1" thickBot="1">
      <c r="A179" s="387"/>
      <c r="B179" s="388"/>
      <c r="C179" s="375" t="s">
        <v>143</v>
      </c>
      <c r="D179" s="376"/>
      <c r="E179" s="376"/>
      <c r="F179" s="376"/>
      <c r="G179" s="376"/>
      <c r="H179" s="377"/>
      <c r="I179" s="82">
        <v>0</v>
      </c>
    </row>
    <row r="180" spans="1:9" ht="19.5" customHeight="1" thickBot="1" thickTop="1">
      <c r="A180" s="384" t="s">
        <v>144</v>
      </c>
      <c r="B180" s="385"/>
      <c r="C180" s="385"/>
      <c r="D180" s="385"/>
      <c r="E180" s="385"/>
      <c r="F180" s="385"/>
      <c r="G180" s="385"/>
      <c r="H180" s="386"/>
      <c r="I180" s="61">
        <f>SUM(I174:I179)</f>
        <v>28225074</v>
      </c>
    </row>
    <row r="181" ht="19.5" customHeight="1" thickTop="1">
      <c r="I181" s="80"/>
    </row>
    <row r="182" spans="1:9" ht="19.5" customHeight="1">
      <c r="A182" s="48" t="str">
        <f ca="1">CELL("FILENAME")</f>
        <v>S:\Bids, Proposals, Quotes\2024\24-TA005076JH IFBC Honore avenue at Old Farm Road Intersection Improvements\Solicitation Documents\Addendums\[24-TA005076JH  Addendum 1, Appendix L - Bid Pricing Form (Revised).xls]Appendix L</v>
      </c>
      <c r="B182" s="48"/>
      <c r="C182" s="49"/>
      <c r="D182" s="49"/>
      <c r="E182" s="49"/>
      <c r="F182" s="103"/>
      <c r="G182" s="50"/>
      <c r="H182" s="49"/>
      <c r="I182" s="51" t="s">
        <v>0</v>
      </c>
    </row>
    <row r="183" spans="3:10" ht="19.5" customHeight="1">
      <c r="C183" s="53"/>
      <c r="J183" s="49"/>
    </row>
    <row r="184" spans="6:9" ht="19.5" customHeight="1">
      <c r="F184" s="104"/>
      <c r="G184" s="2"/>
      <c r="I184" s="53"/>
    </row>
    <row r="185" spans="1:13" ht="19.5" customHeight="1">
      <c r="A185" s="54"/>
      <c r="B185" s="54"/>
      <c r="C185" s="54"/>
      <c r="D185" s="54"/>
      <c r="E185" s="54"/>
      <c r="F185" s="105"/>
      <c r="G185" s="54"/>
      <c r="H185" s="54"/>
      <c r="I185" s="53"/>
      <c r="J185" s="55"/>
      <c r="L185" s="4"/>
      <c r="M185" s="4"/>
    </row>
    <row r="186" spans="1:10" ht="19.5" customHeight="1">
      <c r="A186" s="54"/>
      <c r="B186" s="54"/>
      <c r="C186" s="54"/>
      <c r="D186" s="54"/>
      <c r="E186" s="54"/>
      <c r="F186" s="105"/>
      <c r="G186" s="54"/>
      <c r="H186" s="54"/>
      <c r="I186" s="53"/>
      <c r="J186" s="55"/>
    </row>
    <row r="187" spans="1:10" ht="19.5" customHeight="1">
      <c r="A187" s="53"/>
      <c r="B187" s="53"/>
      <c r="C187" s="53"/>
      <c r="D187" s="53"/>
      <c r="E187" s="53"/>
      <c r="F187" s="106"/>
      <c r="G187" s="53"/>
      <c r="H187" s="53"/>
      <c r="J187" s="55"/>
    </row>
    <row r="188" spans="1:8" ht="19.5" customHeight="1">
      <c r="A188" s="53"/>
      <c r="B188" s="53"/>
      <c r="C188" s="53"/>
      <c r="D188" s="53"/>
      <c r="E188" s="53"/>
      <c r="F188" s="106"/>
      <c r="G188" s="53"/>
      <c r="H188" s="53"/>
    </row>
    <row r="189" spans="1:8" ht="19.5" customHeight="1">
      <c r="A189" s="53"/>
      <c r="B189" s="53"/>
      <c r="C189" s="53"/>
      <c r="D189" s="53"/>
      <c r="E189" s="53"/>
      <c r="F189" s="106"/>
      <c r="G189" s="53"/>
      <c r="H189" s="53"/>
    </row>
    <row r="190" spans="1:8" ht="19.5" customHeight="1">
      <c r="A190" s="53"/>
      <c r="B190" s="53"/>
      <c r="C190" s="53"/>
      <c r="D190" s="53"/>
      <c r="E190" s="53"/>
      <c r="F190" s="106"/>
      <c r="G190" s="53"/>
      <c r="H190" s="53"/>
    </row>
    <row r="191" spans="1:8" ht="19.5" customHeight="1">
      <c r="A191" s="53"/>
      <c r="B191" s="53"/>
      <c r="C191" s="53"/>
      <c r="D191" s="53"/>
      <c r="E191" s="53"/>
      <c r="F191" s="106"/>
      <c r="G191" s="53"/>
      <c r="H191" s="53"/>
    </row>
    <row r="192" spans="1:14" ht="19.5" customHeight="1">
      <c r="A192" s="53"/>
      <c r="B192" s="53"/>
      <c r="C192" s="53"/>
      <c r="D192" s="53"/>
      <c r="E192" s="53"/>
      <c r="F192" s="106"/>
      <c r="G192" s="53"/>
      <c r="H192" s="53"/>
      <c r="N192" s="56"/>
    </row>
    <row r="193" spans="1:14" ht="19.5" customHeight="1">
      <c r="A193" s="53"/>
      <c r="B193" s="53"/>
      <c r="C193" s="53"/>
      <c r="D193" s="53"/>
      <c r="E193" s="53"/>
      <c r="F193" s="106"/>
      <c r="G193" s="53"/>
      <c r="H193" s="53"/>
      <c r="N193" s="56"/>
    </row>
    <row r="194" spans="1:14" ht="19.5" customHeight="1">
      <c r="A194" s="57"/>
      <c r="B194" s="57"/>
      <c r="C194" s="57"/>
      <c r="D194" s="57"/>
      <c r="E194" s="57"/>
      <c r="F194" s="106"/>
      <c r="G194" s="57"/>
      <c r="H194" s="57"/>
      <c r="N194" s="56"/>
    </row>
    <row r="195" spans="1:14" ht="19.5" customHeight="1">
      <c r="A195" s="53"/>
      <c r="B195" s="53"/>
      <c r="C195" s="53"/>
      <c r="D195" s="53"/>
      <c r="E195" s="53"/>
      <c r="F195" s="106"/>
      <c r="G195" s="53"/>
      <c r="H195" s="53"/>
      <c r="N195" s="56"/>
    </row>
    <row r="196" spans="1:14" ht="19.5" customHeight="1">
      <c r="A196" s="53"/>
      <c r="B196" s="53"/>
      <c r="C196" s="53"/>
      <c r="D196" s="53"/>
      <c r="E196" s="53"/>
      <c r="F196" s="106"/>
      <c r="G196" s="53"/>
      <c r="H196" s="53"/>
      <c r="N196" s="56"/>
    </row>
    <row r="197" spans="1:14" ht="19.5" customHeight="1">
      <c r="A197" s="53"/>
      <c r="B197" s="53"/>
      <c r="C197" s="53"/>
      <c r="D197" s="53"/>
      <c r="E197" s="53"/>
      <c r="F197" s="106"/>
      <c r="G197" s="53"/>
      <c r="H197" s="53"/>
      <c r="N197" s="56"/>
    </row>
    <row r="198" spans="1:14" ht="19.5" customHeight="1">
      <c r="A198" s="53"/>
      <c r="B198" s="53"/>
      <c r="H198" s="58"/>
      <c r="N198" s="56"/>
    </row>
    <row r="199" spans="1:14" ht="19.5" customHeight="1">
      <c r="A199" s="53"/>
      <c r="B199" s="53"/>
      <c r="H199" s="58"/>
      <c r="N199" s="56"/>
    </row>
    <row r="200" spans="1:14" ht="19.5" customHeight="1">
      <c r="A200" s="53"/>
      <c r="B200" s="53"/>
      <c r="H200" s="58"/>
      <c r="N200" s="56"/>
    </row>
    <row r="201" spans="1:14" ht="19.5" customHeight="1">
      <c r="A201" s="53"/>
      <c r="B201" s="53"/>
      <c r="H201" s="58"/>
      <c r="N201" s="56"/>
    </row>
    <row r="202" spans="1:14" ht="19.5" customHeight="1">
      <c r="A202" s="53"/>
      <c r="B202" s="53"/>
      <c r="H202" s="58"/>
      <c r="N202" s="56"/>
    </row>
    <row r="203" spans="1:14" ht="19.5" customHeight="1">
      <c r="A203" s="53"/>
      <c r="B203" s="53"/>
      <c r="H203" s="58"/>
      <c r="N203" s="56"/>
    </row>
    <row r="204" spans="1:14" ht="15">
      <c r="A204" s="53"/>
      <c r="B204" s="53"/>
      <c r="H204" s="58"/>
      <c r="N204" s="56"/>
    </row>
    <row r="205" spans="1:14" ht="15">
      <c r="A205" s="53"/>
      <c r="B205" s="53"/>
      <c r="H205" s="58"/>
      <c r="N205" s="56"/>
    </row>
    <row r="206" spans="1:14" ht="15">
      <c r="A206" s="53"/>
      <c r="B206" s="53"/>
      <c r="H206" s="58"/>
      <c r="N206" s="56"/>
    </row>
    <row r="207" spans="1:14" ht="15">
      <c r="A207" s="53"/>
      <c r="B207" s="53"/>
      <c r="H207" s="58"/>
      <c r="N207" s="56"/>
    </row>
    <row r="208" spans="1:14" ht="15">
      <c r="A208" s="53"/>
      <c r="B208" s="53"/>
      <c r="N208" s="56"/>
    </row>
    <row r="209" spans="1:14" ht="15">
      <c r="A209" s="53"/>
      <c r="B209" s="53"/>
      <c r="N209" s="56"/>
    </row>
    <row r="210" spans="1:14" ht="15">
      <c r="A210" s="53"/>
      <c r="B210" s="53"/>
      <c r="N210" s="56"/>
    </row>
    <row r="211" spans="1:14" ht="15">
      <c r="A211" s="53"/>
      <c r="B211" s="53"/>
      <c r="N211" s="56"/>
    </row>
    <row r="212" spans="1:14" ht="15">
      <c r="A212" s="53"/>
      <c r="B212" s="53"/>
      <c r="N212" s="56"/>
    </row>
    <row r="213" spans="1:14" ht="15">
      <c r="A213" s="53"/>
      <c r="B213" s="53"/>
      <c r="N213" s="56"/>
    </row>
    <row r="214" spans="1:14" ht="15">
      <c r="A214" s="53"/>
      <c r="B214" s="53"/>
      <c r="N214" s="56"/>
    </row>
    <row r="215" spans="1:14" ht="15">
      <c r="A215" s="53"/>
      <c r="B215" s="53"/>
      <c r="N215" s="56"/>
    </row>
    <row r="216" spans="1:14" ht="15">
      <c r="A216" s="53"/>
      <c r="B216" s="53"/>
      <c r="N216" s="56"/>
    </row>
    <row r="217" spans="1:14" ht="15">
      <c r="A217" s="53"/>
      <c r="B217" s="53"/>
      <c r="N217" s="56"/>
    </row>
    <row r="218" spans="1:14" ht="15">
      <c r="A218" s="53"/>
      <c r="B218" s="53"/>
      <c r="N218" s="56"/>
    </row>
    <row r="219" spans="1:14" ht="15">
      <c r="A219" s="53"/>
      <c r="B219" s="53"/>
      <c r="N219" s="56"/>
    </row>
    <row r="220" spans="1:14" ht="15">
      <c r="A220" s="53"/>
      <c r="B220" s="53"/>
      <c r="N220" s="56"/>
    </row>
    <row r="221" spans="1:14" ht="15">
      <c r="A221" s="53"/>
      <c r="B221" s="53"/>
      <c r="N221" s="56"/>
    </row>
    <row r="222" spans="1:14" ht="15">
      <c r="A222" s="53"/>
      <c r="B222" s="53"/>
      <c r="N222" s="56"/>
    </row>
    <row r="223" spans="1:14" ht="15">
      <c r="A223" s="53"/>
      <c r="B223" s="53"/>
      <c r="N223" s="56"/>
    </row>
    <row r="224" spans="1:14" ht="15">
      <c r="A224" s="53"/>
      <c r="B224" s="53"/>
      <c r="N224" s="56"/>
    </row>
    <row r="225" spans="1:14" ht="15">
      <c r="A225" s="53"/>
      <c r="B225" s="53"/>
      <c r="N225" s="56"/>
    </row>
    <row r="226" spans="1:14" ht="15">
      <c r="A226" s="53"/>
      <c r="B226" s="53"/>
      <c r="N226" s="56"/>
    </row>
    <row r="227" spans="1:14" ht="15">
      <c r="A227" s="53"/>
      <c r="B227" s="53"/>
      <c r="N227" s="56"/>
    </row>
    <row r="228" spans="1:14" ht="15">
      <c r="A228" s="53"/>
      <c r="B228" s="53"/>
      <c r="N228" s="56"/>
    </row>
    <row r="229" spans="1:14" ht="15">
      <c r="A229" s="53"/>
      <c r="B229" s="53"/>
      <c r="N229" s="56"/>
    </row>
    <row r="230" spans="1:14" ht="15">
      <c r="A230" s="53"/>
      <c r="B230" s="53"/>
      <c r="N230" s="56"/>
    </row>
    <row r="231" spans="1:14" ht="15">
      <c r="A231" s="53"/>
      <c r="B231" s="53"/>
      <c r="N231" s="56"/>
    </row>
    <row r="232" spans="1:14" ht="15">
      <c r="A232" s="53"/>
      <c r="B232" s="53"/>
      <c r="N232" s="56"/>
    </row>
    <row r="233" spans="1:14" ht="15">
      <c r="A233" s="53"/>
      <c r="B233" s="53"/>
      <c r="N233" s="56"/>
    </row>
    <row r="234" spans="1:14" ht="15">
      <c r="A234" s="53"/>
      <c r="B234" s="53"/>
      <c r="N234" s="56"/>
    </row>
    <row r="235" spans="1:14" ht="15">
      <c r="A235" s="53"/>
      <c r="B235" s="53"/>
      <c r="N235" s="56"/>
    </row>
    <row r="236" spans="1:14" ht="15">
      <c r="A236" s="57"/>
      <c r="B236" s="57"/>
      <c r="N236" s="56"/>
    </row>
    <row r="237" spans="1:14" ht="15">
      <c r="A237" s="53"/>
      <c r="B237" s="53"/>
      <c r="N237" s="56"/>
    </row>
    <row r="238" spans="1:14" ht="15">
      <c r="A238" s="53"/>
      <c r="B238" s="53"/>
      <c r="N238" s="56"/>
    </row>
    <row r="239" spans="1:14" ht="15">
      <c r="A239" s="53"/>
      <c r="B239" s="53"/>
      <c r="N239" s="56"/>
    </row>
    <row r="240" spans="1:14" ht="15">
      <c r="A240" s="53"/>
      <c r="B240" s="53"/>
      <c r="N240" s="56"/>
    </row>
    <row r="241" spans="1:14" ht="15">
      <c r="A241" s="53"/>
      <c r="B241" s="53"/>
      <c r="N241" s="56"/>
    </row>
    <row r="242" spans="1:14" ht="15">
      <c r="A242" s="53"/>
      <c r="B242" s="53"/>
      <c r="N242" s="56"/>
    </row>
    <row r="243" spans="1:14" ht="15">
      <c r="A243" s="53"/>
      <c r="B243" s="53"/>
      <c r="N243" s="56"/>
    </row>
    <row r="244" spans="1:14" ht="15">
      <c r="A244" s="53"/>
      <c r="B244" s="53"/>
      <c r="N244" s="56"/>
    </row>
    <row r="245" spans="1:14" ht="15">
      <c r="A245" s="53"/>
      <c r="B245" s="53"/>
      <c r="N245" s="56"/>
    </row>
    <row r="246" spans="1:14" ht="15">
      <c r="A246" s="53"/>
      <c r="B246" s="53"/>
      <c r="N246" s="56"/>
    </row>
    <row r="247" spans="1:14" ht="15">
      <c r="A247" s="53"/>
      <c r="B247" s="53"/>
      <c r="N247" s="56"/>
    </row>
    <row r="248" spans="1:14" ht="15">
      <c r="A248" s="53"/>
      <c r="B248" s="53"/>
      <c r="N248" s="56"/>
    </row>
    <row r="249" spans="1:14" ht="15">
      <c r="A249" s="53"/>
      <c r="B249" s="53"/>
      <c r="N249" s="56"/>
    </row>
    <row r="250" spans="1:14" ht="15">
      <c r="A250" s="53"/>
      <c r="B250" s="53"/>
      <c r="N250" s="56"/>
    </row>
    <row r="251" spans="1:14" ht="15">
      <c r="A251" s="53"/>
      <c r="B251" s="53"/>
      <c r="N251" s="56"/>
    </row>
    <row r="252" spans="1:14" ht="15">
      <c r="A252" s="53"/>
      <c r="B252" s="53"/>
      <c r="N252" s="56"/>
    </row>
    <row r="253" spans="1:14" ht="15">
      <c r="A253" s="53"/>
      <c r="B253" s="53"/>
      <c r="N253" s="56"/>
    </row>
    <row r="254" spans="1:14" ht="15">
      <c r="A254" s="53"/>
      <c r="B254" s="53"/>
      <c r="N254" s="56"/>
    </row>
    <row r="255" spans="1:14" ht="15">
      <c r="A255" s="53"/>
      <c r="B255" s="53"/>
      <c r="N255" s="56"/>
    </row>
    <row r="256" spans="1:14" ht="15">
      <c r="A256" s="53"/>
      <c r="B256" s="53"/>
      <c r="N256" s="56"/>
    </row>
    <row r="257" spans="1:14" ht="15">
      <c r="A257" s="53"/>
      <c r="B257" s="53"/>
      <c r="N257" s="56"/>
    </row>
    <row r="258" spans="1:14" ht="15">
      <c r="A258" s="53"/>
      <c r="B258" s="53"/>
      <c r="N258" s="56"/>
    </row>
    <row r="259" spans="1:14" ht="15">
      <c r="A259" s="53"/>
      <c r="B259" s="53"/>
      <c r="N259" s="56"/>
    </row>
    <row r="260" spans="1:14" ht="15">
      <c r="A260" s="53"/>
      <c r="B260" s="53"/>
      <c r="N260" s="56"/>
    </row>
    <row r="261" spans="1:14" ht="15">
      <c r="A261" s="53"/>
      <c r="B261" s="53"/>
      <c r="N261" s="56"/>
    </row>
    <row r="262" spans="1:14" ht="15">
      <c r="A262" s="53"/>
      <c r="B262" s="53"/>
      <c r="N262" s="56"/>
    </row>
    <row r="263" spans="1:14" ht="15">
      <c r="A263" s="53"/>
      <c r="B263" s="53"/>
      <c r="N263" s="56"/>
    </row>
    <row r="264" spans="1:14" ht="15">
      <c r="A264" s="53"/>
      <c r="B264" s="53"/>
      <c r="N264" s="56"/>
    </row>
    <row r="265" spans="1:14" ht="15">
      <c r="A265" s="53"/>
      <c r="B265" s="53"/>
      <c r="N265" s="56"/>
    </row>
    <row r="266" spans="1:14" ht="15">
      <c r="A266" s="53"/>
      <c r="B266" s="53"/>
      <c r="N266" s="56"/>
    </row>
    <row r="267" spans="1:14" ht="15">
      <c r="A267" s="53"/>
      <c r="B267" s="53"/>
      <c r="N267" s="56"/>
    </row>
    <row r="268" spans="1:14" ht="15">
      <c r="A268" s="53"/>
      <c r="B268" s="53"/>
      <c r="N268" s="56"/>
    </row>
    <row r="269" spans="1:14" ht="15">
      <c r="A269" s="53"/>
      <c r="B269" s="53"/>
      <c r="N269" s="56"/>
    </row>
    <row r="270" spans="1:14" ht="15">
      <c r="A270" s="53"/>
      <c r="B270" s="53"/>
      <c r="N270" s="56"/>
    </row>
    <row r="271" spans="1:14" ht="15">
      <c r="A271" s="53"/>
      <c r="B271" s="53"/>
      <c r="N271" s="56"/>
    </row>
    <row r="272" spans="1:14" ht="15">
      <c r="A272" s="53"/>
      <c r="B272" s="53"/>
      <c r="N272" s="56"/>
    </row>
    <row r="273" spans="1:14" ht="15">
      <c r="A273" s="53"/>
      <c r="B273" s="53"/>
      <c r="N273" s="56"/>
    </row>
    <row r="274" spans="1:14" ht="15">
      <c r="A274" s="53"/>
      <c r="B274" s="53"/>
      <c r="N274" s="56"/>
    </row>
    <row r="275" spans="1:14" ht="15">
      <c r="A275" s="53"/>
      <c r="B275" s="53"/>
      <c r="N275" s="56"/>
    </row>
    <row r="276" spans="1:14" ht="15">
      <c r="A276" s="53"/>
      <c r="B276" s="53"/>
      <c r="N276" s="56"/>
    </row>
    <row r="277" spans="1:14" ht="15">
      <c r="A277" s="57"/>
      <c r="B277" s="57"/>
      <c r="N277" s="56"/>
    </row>
    <row r="278" spans="1:14" ht="15">
      <c r="A278" s="53"/>
      <c r="B278" s="53"/>
      <c r="N278" s="56"/>
    </row>
    <row r="279" spans="1:14" ht="15">
      <c r="A279" s="53"/>
      <c r="B279" s="53"/>
      <c r="N279" s="56"/>
    </row>
    <row r="280" spans="1:14" ht="15">
      <c r="A280" s="53"/>
      <c r="B280" s="53"/>
      <c r="N280" s="56"/>
    </row>
    <row r="281" spans="1:14" ht="15">
      <c r="A281" s="53"/>
      <c r="B281" s="53"/>
      <c r="N281" s="56"/>
    </row>
    <row r="282" spans="1:14" ht="15">
      <c r="A282" s="53"/>
      <c r="B282" s="53"/>
      <c r="N282" s="56"/>
    </row>
    <row r="283" spans="1:14" ht="15">
      <c r="A283" s="53"/>
      <c r="B283" s="53"/>
      <c r="N283" s="56"/>
    </row>
    <row r="284" spans="1:14" ht="15">
      <c r="A284" s="53"/>
      <c r="B284" s="53"/>
      <c r="N284" s="56"/>
    </row>
    <row r="285" spans="1:14" ht="15">
      <c r="A285" s="53"/>
      <c r="B285" s="53"/>
      <c r="N285" s="56"/>
    </row>
    <row r="286" spans="1:14" ht="15">
      <c r="A286" s="53"/>
      <c r="B286" s="53"/>
      <c r="N286" s="56"/>
    </row>
    <row r="287" spans="1:14" ht="15">
      <c r="A287" s="53"/>
      <c r="B287" s="53"/>
      <c r="N287" s="56"/>
    </row>
    <row r="288" spans="1:14" ht="15">
      <c r="A288" s="53"/>
      <c r="B288" s="53"/>
      <c r="N288" s="56"/>
    </row>
    <row r="289" spans="1:14" ht="19.5" customHeight="1">
      <c r="A289" s="53"/>
      <c r="B289" s="53"/>
      <c r="N289" s="56"/>
    </row>
    <row r="290" spans="1:14" ht="19.5" customHeight="1">
      <c r="A290" s="53"/>
      <c r="B290" s="53"/>
      <c r="N290" s="56"/>
    </row>
    <row r="291" spans="1:14" ht="19.5" customHeight="1">
      <c r="A291" s="53"/>
      <c r="B291" s="53"/>
      <c r="N291" s="56"/>
    </row>
    <row r="292" spans="1:14" ht="19.5" customHeight="1">
      <c r="A292" s="53"/>
      <c r="B292" s="53"/>
      <c r="N292" s="56"/>
    </row>
    <row r="293" spans="1:14" ht="19.5" customHeight="1">
      <c r="A293" s="53"/>
      <c r="B293" s="53"/>
      <c r="N293" s="56"/>
    </row>
    <row r="294" spans="1:14" ht="19.5" customHeight="1">
      <c r="A294" s="53"/>
      <c r="B294" s="53"/>
      <c r="N294" s="56"/>
    </row>
    <row r="295" spans="1:14" ht="19.5" customHeight="1">
      <c r="A295" s="53"/>
      <c r="B295" s="53"/>
      <c r="N295" s="56"/>
    </row>
    <row r="296" spans="1:14" ht="19.5" customHeight="1">
      <c r="A296" s="53"/>
      <c r="B296" s="53"/>
      <c r="N296" s="56"/>
    </row>
    <row r="297" spans="1:14" ht="19.5" customHeight="1">
      <c r="A297" s="53"/>
      <c r="B297" s="53"/>
      <c r="N297" s="56"/>
    </row>
    <row r="298" spans="1:14" ht="19.5" customHeight="1">
      <c r="A298" s="53"/>
      <c r="B298" s="53"/>
      <c r="N298" s="56"/>
    </row>
    <row r="299" spans="1:14" ht="19.5" customHeight="1">
      <c r="A299" s="53"/>
      <c r="B299" s="53"/>
      <c r="N299" s="56"/>
    </row>
    <row r="300" spans="1:14" ht="15">
      <c r="A300" s="53"/>
      <c r="B300" s="53"/>
      <c r="N300" s="56"/>
    </row>
    <row r="301" spans="1:14" ht="15">
      <c r="A301" s="53"/>
      <c r="B301" s="53"/>
      <c r="N301" s="56"/>
    </row>
    <row r="302" spans="1:14" ht="15">
      <c r="A302" s="53"/>
      <c r="B302" s="53"/>
      <c r="N302" s="56"/>
    </row>
    <row r="303" spans="1:14" ht="15">
      <c r="A303" s="53"/>
      <c r="B303" s="53"/>
      <c r="N303" s="56"/>
    </row>
    <row r="304" spans="1:14" ht="15">
      <c r="A304" s="53"/>
      <c r="B304" s="53"/>
      <c r="N304" s="56"/>
    </row>
    <row r="305" spans="1:14" ht="15">
      <c r="A305" s="53"/>
      <c r="B305" s="53"/>
      <c r="N305" s="56"/>
    </row>
    <row r="306" spans="1:14" ht="15">
      <c r="A306" s="53"/>
      <c r="B306" s="53"/>
      <c r="N306" s="56"/>
    </row>
    <row r="307" ht="15">
      <c r="N307" s="56"/>
    </row>
    <row r="308" ht="15">
      <c r="N308" s="56"/>
    </row>
    <row r="309" ht="15">
      <c r="N309" s="56"/>
    </row>
    <row r="310" ht="15">
      <c r="N310" s="56"/>
    </row>
    <row r="311" ht="15">
      <c r="N311" s="56"/>
    </row>
    <row r="312" ht="15">
      <c r="N312" s="56"/>
    </row>
    <row r="313" ht="15">
      <c r="N313" s="56"/>
    </row>
    <row r="314" ht="15">
      <c r="N314" s="56"/>
    </row>
    <row r="315" ht="15">
      <c r="N315" s="56"/>
    </row>
    <row r="316" ht="15">
      <c r="N316" s="56"/>
    </row>
    <row r="317" ht="15">
      <c r="N317" s="56"/>
    </row>
    <row r="318" ht="15">
      <c r="N318" s="56"/>
    </row>
    <row r="319" ht="15">
      <c r="N319" s="56"/>
    </row>
    <row r="320" ht="15">
      <c r="N320" s="56"/>
    </row>
    <row r="321" ht="15">
      <c r="N321" s="56"/>
    </row>
    <row r="322" ht="15">
      <c r="N322" s="56"/>
    </row>
    <row r="323" ht="15">
      <c r="N323" s="56"/>
    </row>
    <row r="324" ht="15">
      <c r="N324" s="56"/>
    </row>
    <row r="325" ht="15">
      <c r="N325" s="56"/>
    </row>
    <row r="326" ht="15">
      <c r="N326" s="56"/>
    </row>
    <row r="327" ht="15">
      <c r="N327" s="56"/>
    </row>
    <row r="328" ht="15">
      <c r="N328" s="56"/>
    </row>
    <row r="329" ht="15">
      <c r="N329" s="56"/>
    </row>
    <row r="330" ht="15">
      <c r="N330" s="56"/>
    </row>
    <row r="331" ht="15">
      <c r="N331" s="56"/>
    </row>
    <row r="332" ht="15">
      <c r="N332" s="56"/>
    </row>
    <row r="333" ht="15">
      <c r="N333" s="56"/>
    </row>
    <row r="334" ht="15">
      <c r="N334" s="56"/>
    </row>
    <row r="335" ht="15">
      <c r="N335" s="56"/>
    </row>
    <row r="336" ht="15">
      <c r="N336" s="56"/>
    </row>
    <row r="337" ht="15">
      <c r="N337" s="56"/>
    </row>
    <row r="338" ht="15">
      <c r="N338" s="56"/>
    </row>
    <row r="339" spans="14:24" ht="15">
      <c r="N339" s="56"/>
      <c r="X339" s="5" t="s">
        <v>0</v>
      </c>
    </row>
    <row r="340" ht="15">
      <c r="N340" s="56"/>
    </row>
    <row r="341" ht="15">
      <c r="N341" s="56"/>
    </row>
    <row r="342" ht="15">
      <c r="N342" s="56"/>
    </row>
    <row r="343" ht="15">
      <c r="N343" s="56"/>
    </row>
    <row r="344" ht="15">
      <c r="N344" s="56"/>
    </row>
    <row r="345" ht="15">
      <c r="N345" s="56"/>
    </row>
    <row r="346" ht="15">
      <c r="N346" s="56"/>
    </row>
    <row r="347" ht="15">
      <c r="N347" s="56"/>
    </row>
    <row r="348" ht="15">
      <c r="N348" s="56"/>
    </row>
    <row r="349" ht="15">
      <c r="N349" s="56"/>
    </row>
    <row r="350" ht="15">
      <c r="N350" s="56"/>
    </row>
    <row r="351" ht="15">
      <c r="N351" s="56"/>
    </row>
    <row r="352" ht="15">
      <c r="N352" s="56"/>
    </row>
    <row r="353" ht="15">
      <c r="N353" s="56"/>
    </row>
    <row r="354" ht="15">
      <c r="N354" s="56"/>
    </row>
    <row r="355" ht="15">
      <c r="N355" s="56"/>
    </row>
    <row r="356" ht="15">
      <c r="N356" s="56"/>
    </row>
    <row r="357" ht="15">
      <c r="N357" s="56"/>
    </row>
    <row r="358" ht="15">
      <c r="N358" s="56"/>
    </row>
    <row r="359" ht="15">
      <c r="N359" s="56"/>
    </row>
    <row r="360" ht="15">
      <c r="N360" s="56"/>
    </row>
    <row r="361" ht="15">
      <c r="N361" s="56"/>
    </row>
    <row r="362" ht="15">
      <c r="N362" s="56"/>
    </row>
    <row r="363" ht="15">
      <c r="N363" s="56"/>
    </row>
    <row r="364" ht="15">
      <c r="N364" s="56"/>
    </row>
    <row r="365" ht="15">
      <c r="N365" s="56"/>
    </row>
    <row r="366" ht="15">
      <c r="N366" s="56"/>
    </row>
    <row r="367" ht="15">
      <c r="N367" s="56"/>
    </row>
    <row r="368" ht="15">
      <c r="N368" s="56"/>
    </row>
    <row r="369" ht="15">
      <c r="N369" s="56"/>
    </row>
    <row r="370" ht="15">
      <c r="N370" s="56"/>
    </row>
    <row r="371" ht="15">
      <c r="N371" s="56"/>
    </row>
    <row r="372" ht="15">
      <c r="N372" s="56"/>
    </row>
    <row r="373" ht="15">
      <c r="N373" s="56"/>
    </row>
    <row r="374" ht="15">
      <c r="N374" s="56"/>
    </row>
    <row r="375" ht="15">
      <c r="N375" s="56"/>
    </row>
    <row r="376" ht="15">
      <c r="N376" s="56"/>
    </row>
    <row r="377" ht="15">
      <c r="N377" s="56"/>
    </row>
    <row r="378" ht="15">
      <c r="N378" s="56"/>
    </row>
    <row r="379" ht="15">
      <c r="N379" s="56"/>
    </row>
    <row r="380" ht="15">
      <c r="N380" s="56"/>
    </row>
    <row r="381" ht="15">
      <c r="N381" s="56"/>
    </row>
    <row r="382" ht="15">
      <c r="N382" s="56"/>
    </row>
    <row r="383" ht="15">
      <c r="N383" s="56"/>
    </row>
    <row r="384" ht="15">
      <c r="N384" s="56"/>
    </row>
    <row r="385" ht="15">
      <c r="N385" s="56"/>
    </row>
    <row r="386" ht="15">
      <c r="N386" s="56"/>
    </row>
    <row r="387" ht="15">
      <c r="N387" s="56"/>
    </row>
    <row r="388" ht="15">
      <c r="N388" s="56"/>
    </row>
    <row r="389" ht="15">
      <c r="N389" s="56"/>
    </row>
    <row r="390" ht="15">
      <c r="N390" s="56"/>
    </row>
    <row r="391" ht="15">
      <c r="N391" s="56"/>
    </row>
    <row r="392" ht="15">
      <c r="N392" s="56"/>
    </row>
    <row r="393" ht="15">
      <c r="N393" s="56"/>
    </row>
    <row r="394" ht="15">
      <c r="N394" s="56"/>
    </row>
    <row r="395" ht="15">
      <c r="N395" s="56"/>
    </row>
    <row r="396" ht="15">
      <c r="N396" s="56"/>
    </row>
    <row r="397" ht="15">
      <c r="N397" s="56"/>
    </row>
    <row r="398" ht="15">
      <c r="N398" s="56"/>
    </row>
    <row r="399" ht="15">
      <c r="N399" s="56"/>
    </row>
    <row r="400" ht="15">
      <c r="N400" s="56"/>
    </row>
    <row r="401" ht="15">
      <c r="N401" s="56"/>
    </row>
    <row r="402" ht="15">
      <c r="N402" s="56"/>
    </row>
    <row r="403" ht="15">
      <c r="N403" s="56"/>
    </row>
    <row r="404" ht="15">
      <c r="N404" s="56"/>
    </row>
    <row r="405" ht="15">
      <c r="N405" s="56"/>
    </row>
    <row r="406" ht="15">
      <c r="N406" s="56"/>
    </row>
    <row r="407" ht="15">
      <c r="N407" s="56"/>
    </row>
    <row r="408" ht="15">
      <c r="N408" s="56"/>
    </row>
    <row r="409" ht="15">
      <c r="N409" s="56"/>
    </row>
    <row r="410" ht="15">
      <c r="N410" s="56"/>
    </row>
    <row r="411" ht="15">
      <c r="N411" s="56"/>
    </row>
    <row r="412" ht="15">
      <c r="N412" s="56"/>
    </row>
    <row r="413" ht="15">
      <c r="N413" s="56"/>
    </row>
    <row r="414" ht="15">
      <c r="N414" s="56"/>
    </row>
    <row r="415" ht="15">
      <c r="N415" s="56"/>
    </row>
    <row r="416" ht="15">
      <c r="N416" s="56"/>
    </row>
    <row r="417" ht="15">
      <c r="N417" s="56"/>
    </row>
    <row r="418" ht="15">
      <c r="N418" s="56"/>
    </row>
    <row r="419" ht="15">
      <c r="N419" s="56"/>
    </row>
    <row r="420" ht="15">
      <c r="N420" s="56"/>
    </row>
    <row r="421" ht="15">
      <c r="N421" s="56"/>
    </row>
    <row r="422" ht="15">
      <c r="N422" s="56"/>
    </row>
    <row r="423" ht="15">
      <c r="N423" s="56"/>
    </row>
    <row r="424" ht="15">
      <c r="N424" s="56"/>
    </row>
    <row r="425" ht="15">
      <c r="N425" s="56"/>
    </row>
    <row r="426" ht="15">
      <c r="N426" s="56"/>
    </row>
    <row r="427" ht="15">
      <c r="N427" s="56"/>
    </row>
    <row r="428" ht="15">
      <c r="N428" s="56"/>
    </row>
    <row r="429" ht="15">
      <c r="N429" s="56"/>
    </row>
    <row r="430" ht="15">
      <c r="N430" s="56"/>
    </row>
    <row r="431" ht="15">
      <c r="N431" s="56"/>
    </row>
    <row r="432" ht="15">
      <c r="N432" s="56"/>
    </row>
    <row r="433" ht="15">
      <c r="N433" s="56"/>
    </row>
    <row r="434" ht="15">
      <c r="N434" s="56"/>
    </row>
    <row r="435" ht="15">
      <c r="N435" s="56"/>
    </row>
    <row r="436" ht="15">
      <c r="N436" s="56"/>
    </row>
    <row r="437" ht="15">
      <c r="N437" s="56"/>
    </row>
    <row r="438" ht="15">
      <c r="N438" s="56"/>
    </row>
    <row r="439" ht="15">
      <c r="N439" s="56"/>
    </row>
    <row r="440" ht="15">
      <c r="N440" s="56"/>
    </row>
    <row r="441" ht="15">
      <c r="N441" s="56"/>
    </row>
    <row r="442" ht="15">
      <c r="N442" s="56"/>
    </row>
    <row r="443" ht="15">
      <c r="N443" s="56"/>
    </row>
    <row r="444" ht="15">
      <c r="N444" s="56"/>
    </row>
    <row r="445" ht="15">
      <c r="N445" s="56"/>
    </row>
    <row r="446" ht="15">
      <c r="N446" s="56"/>
    </row>
    <row r="447" ht="15">
      <c r="N447" s="56"/>
    </row>
    <row r="448" ht="15">
      <c r="N448" s="56"/>
    </row>
    <row r="449" ht="15">
      <c r="N449" s="56"/>
    </row>
    <row r="450" ht="15">
      <c r="N450" s="56"/>
    </row>
    <row r="451" ht="15">
      <c r="N451" s="56"/>
    </row>
    <row r="452" ht="15">
      <c r="N452" s="56"/>
    </row>
    <row r="453" ht="15">
      <c r="N453" s="56"/>
    </row>
    <row r="454" ht="15">
      <c r="N454" s="56"/>
    </row>
    <row r="455" ht="15">
      <c r="N455" s="56"/>
    </row>
    <row r="456" ht="15">
      <c r="N456" s="56"/>
    </row>
    <row r="457" ht="15">
      <c r="N457" s="56"/>
    </row>
    <row r="458" ht="15">
      <c r="N458" s="56"/>
    </row>
    <row r="459" ht="15">
      <c r="N459" s="56"/>
    </row>
    <row r="460" ht="15">
      <c r="N460" s="56"/>
    </row>
    <row r="461" ht="15">
      <c r="N461" s="56"/>
    </row>
    <row r="462" ht="15">
      <c r="N462" s="56"/>
    </row>
    <row r="463" ht="15">
      <c r="N463" s="56"/>
    </row>
    <row r="464" ht="15">
      <c r="N464" s="56"/>
    </row>
    <row r="465" ht="15">
      <c r="N465" s="56"/>
    </row>
    <row r="466" ht="15">
      <c r="N466" s="56"/>
    </row>
    <row r="467" ht="15">
      <c r="N467" s="56"/>
    </row>
    <row r="468" ht="15">
      <c r="N468" s="56"/>
    </row>
    <row r="469" ht="15">
      <c r="N469" s="56"/>
    </row>
    <row r="470" ht="15">
      <c r="N470" s="56"/>
    </row>
    <row r="471" ht="15">
      <c r="N471" s="56"/>
    </row>
    <row r="472" ht="15">
      <c r="N472" s="56"/>
    </row>
    <row r="473" ht="15">
      <c r="N473" s="56"/>
    </row>
    <row r="474" ht="15">
      <c r="N474" s="56"/>
    </row>
    <row r="475" ht="15">
      <c r="N475" s="56"/>
    </row>
    <row r="476" ht="15">
      <c r="N476" s="56"/>
    </row>
    <row r="477" ht="15">
      <c r="N477" s="56"/>
    </row>
    <row r="478" ht="15">
      <c r="N478" s="56"/>
    </row>
    <row r="479" ht="15">
      <c r="N479" s="56"/>
    </row>
    <row r="480" ht="15">
      <c r="N480" s="56"/>
    </row>
    <row r="481" ht="15">
      <c r="N481" s="56"/>
    </row>
    <row r="482" ht="15">
      <c r="N482" s="56"/>
    </row>
    <row r="483" ht="15">
      <c r="N483" s="56"/>
    </row>
    <row r="484" ht="15">
      <c r="N484" s="56"/>
    </row>
    <row r="485" ht="15">
      <c r="N485" s="56"/>
    </row>
    <row r="486" ht="15">
      <c r="N486" s="56"/>
    </row>
    <row r="487" ht="15">
      <c r="N487" s="56"/>
    </row>
    <row r="488" ht="15">
      <c r="N488" s="56"/>
    </row>
    <row r="489" ht="15">
      <c r="N489" s="56"/>
    </row>
    <row r="490" ht="15">
      <c r="N490" s="56"/>
    </row>
    <row r="491" ht="15">
      <c r="N491" s="56"/>
    </row>
  </sheetData>
  <sheetProtection/>
  <mergeCells count="29">
    <mergeCell ref="A180:H180"/>
    <mergeCell ref="A84:I84"/>
    <mergeCell ref="A101:I101"/>
    <mergeCell ref="A153:I153"/>
    <mergeCell ref="Q72:T72"/>
    <mergeCell ref="Q18:AL18"/>
    <mergeCell ref="A18:I18"/>
    <mergeCell ref="A172:I172"/>
    <mergeCell ref="A177:B179"/>
    <mergeCell ref="C177:H177"/>
    <mergeCell ref="M12:U12"/>
    <mergeCell ref="C178:H178"/>
    <mergeCell ref="C179:H179"/>
    <mergeCell ref="A13:I13"/>
    <mergeCell ref="A14:I14"/>
    <mergeCell ref="B15:B17"/>
    <mergeCell ref="E15:E17"/>
    <mergeCell ref="F15:F17"/>
    <mergeCell ref="G15:G17"/>
    <mergeCell ref="H15:H17"/>
    <mergeCell ref="A168:H168"/>
    <mergeCell ref="A169:H169"/>
    <mergeCell ref="A170:H170"/>
    <mergeCell ref="A8:I8"/>
    <mergeCell ref="A9:I9"/>
    <mergeCell ref="A10:I10"/>
    <mergeCell ref="A11:I11"/>
    <mergeCell ref="A12:I12"/>
    <mergeCell ref="A167:I167"/>
  </mergeCells>
  <printOptions horizontalCentered="1"/>
  <pageMargins left="0.25" right="0.25" top="1.25" bottom="0.75" header="0.55" footer="0.3"/>
  <pageSetup fitToHeight="0" fitToWidth="1" horizontalDpi="600" verticalDpi="600" orientation="portrait" scale="42" r:id="rId4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Tampa Bay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</dc:title>
  <dc:subject/>
  <dc:creator>EPN</dc:creator>
  <cp:keywords/>
  <dc:description/>
  <cp:lastModifiedBy>Jeb Hayter</cp:lastModifiedBy>
  <cp:lastPrinted>2023-12-08T21:05:09Z</cp:lastPrinted>
  <dcterms:created xsi:type="dcterms:W3CDTF">2000-10-05T20:56:06Z</dcterms:created>
  <dcterms:modified xsi:type="dcterms:W3CDTF">2024-01-22T14:39:11Z</dcterms:modified>
  <cp:category/>
  <cp:version/>
  <cp:contentType/>
  <cp:contentStatus/>
</cp:coreProperties>
</file>